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835" tabRatio="887" activeTab="0"/>
  </bookViews>
  <sheets>
    <sheet name="Красноказачья 2" sheetId="1" r:id="rId1"/>
    <sheet name="Поленова 12" sheetId="2" r:id="rId2"/>
    <sheet name="Лызина 18 " sheetId="3" r:id="rId3"/>
    <sheet name="Д.С.103Д" sheetId="4" r:id="rId4"/>
    <sheet name="Лыз.40" sheetId="5" r:id="rId5"/>
    <sheet name="Д.С.105А" sheetId="6" r:id="rId6"/>
    <sheet name="Д.С.119" sheetId="7" r:id="rId7"/>
    <sheet name="Аэроф.1" sheetId="8" r:id="rId8"/>
    <sheet name="Аэроф.3" sheetId="9" r:id="rId9"/>
    <sheet name="Лызина 20А" sheetId="10" r:id="rId10"/>
    <sheet name="Пионерский 3" sheetId="11" r:id="rId11"/>
    <sheet name="Д.С. 103а" sheetId="12" r:id="rId12"/>
    <sheet name="Сов.111" sheetId="13" r:id="rId13"/>
    <sheet name="Сов.65" sheetId="14" r:id="rId14"/>
    <sheet name="Сов.69" sheetId="15" r:id="rId15"/>
    <sheet name="Сов.67" sheetId="16" r:id="rId16"/>
    <sheet name="Сов.63" sheetId="17" r:id="rId17"/>
    <sheet name="Сов.71" sheetId="18" r:id="rId18"/>
    <sheet name="Сов 73" sheetId="19" r:id="rId19"/>
    <sheet name="Сов 113" sheetId="20" r:id="rId20"/>
    <sheet name="Д.С.105в" sheetId="21" r:id="rId21"/>
    <sheet name="Красноярская 22" sheetId="22" r:id="rId22"/>
    <sheet name="Д.С.107а" sheetId="23" r:id="rId23"/>
    <sheet name="Бограда 4" sheetId="24" r:id="rId24"/>
    <sheet name="К.К 21-2" sheetId="25" r:id="rId25"/>
    <sheet name="Угольный 76" sheetId="26" r:id="rId26"/>
    <sheet name="Ф.Энг.5" sheetId="27" r:id="rId27"/>
    <sheet name="Красноказ.8-а" sheetId="28" r:id="rId28"/>
    <sheet name="Д.Событий 87" sheetId="29" r:id="rId29"/>
    <sheet name="Тим.42" sheetId="30" r:id="rId30"/>
    <sheet name="Д.С.107Б" sheetId="31" r:id="rId31"/>
    <sheet name="Сов.115" sheetId="32" r:id="rId32"/>
    <sheet name="Уг.78" sheetId="33" r:id="rId33"/>
    <sheet name="Сов79" sheetId="34" r:id="rId34"/>
    <sheet name="Сов81" sheetId="35" r:id="rId35"/>
    <sheet name="Сов83" sheetId="36" r:id="rId36"/>
    <sheet name="Сов87" sheetId="37" r:id="rId37"/>
    <sheet name="Сов93" sheetId="38" r:id="rId38"/>
    <sheet name="Лыз50" sheetId="39" r:id="rId39"/>
    <sheet name="Красноказ21" sheetId="40" r:id="rId40"/>
    <sheet name="Энг7" sheetId="41" r:id="rId41"/>
    <sheet name="Энг 9" sheetId="42" r:id="rId42"/>
    <sheet name="ДС103Б" sheetId="43" r:id="rId43"/>
    <sheet name="Сов85" sheetId="44" r:id="rId44"/>
    <sheet name="Сов127Б" sheetId="45" r:id="rId45"/>
    <sheet name="Пол27" sheetId="46" r:id="rId46"/>
    <sheet name="Пол23" sheetId="47" r:id="rId47"/>
    <sheet name="Пол10" sheetId="48" r:id="rId48"/>
    <sheet name="Пол14" sheetId="49" r:id="rId49"/>
    <sheet name="Пол16" sheetId="50" r:id="rId50"/>
    <sheet name="Култ32" sheetId="51" r:id="rId51"/>
    <sheet name="Ямс40" sheetId="52" r:id="rId52"/>
    <sheet name="Д.С.105Б" sheetId="53" r:id="rId53"/>
    <sheet name="Кул11" sheetId="54" r:id="rId54"/>
    <sheet name="Сов77" sheetId="55" r:id="rId55"/>
    <sheet name="Сов75" sheetId="56" r:id="rId56"/>
    <sheet name="ДС103Г" sheetId="57" r:id="rId57"/>
    <sheet name="Сов127" sheetId="58" r:id="rId58"/>
    <sheet name="ДС103" sheetId="59" r:id="rId59"/>
    <sheet name="Б.Хм11" sheetId="60" r:id="rId60"/>
    <sheet name="Подапт.1" sheetId="61" r:id="rId61"/>
    <sheet name="Поленова 21" sheetId="62" r:id="rId62"/>
  </sheets>
  <definedNames/>
  <calcPr fullCalcOnLoad="1"/>
</workbook>
</file>

<file path=xl/sharedStrings.xml><?xml version="1.0" encoding="utf-8"?>
<sst xmlns="http://schemas.openxmlformats.org/spreadsheetml/2006/main" count="9705" uniqueCount="1223">
  <si>
    <t>очистка подвалов</t>
  </si>
  <si>
    <t>Адрес: ул. Советская 77</t>
  </si>
  <si>
    <t>ул.Советская 77</t>
  </si>
  <si>
    <t>пер.Пионерский 3</t>
  </si>
  <si>
    <t>ремонт канализации п.1</t>
  </si>
  <si>
    <t>ремонт кровли</t>
  </si>
  <si>
    <t>Отчетный период с 01.06.10г. по 31.05.11г.</t>
  </si>
  <si>
    <t>Отчетный период с 01.06.07г. по 31.05.08г.</t>
  </si>
  <si>
    <t>Отчетный период с 01.06.06г. по 31.05.07г.</t>
  </si>
  <si>
    <t>ул.Советская 127б</t>
  </si>
  <si>
    <t>ООО "Монтэкристе" (реконструкция элеваторного узла)</t>
  </si>
  <si>
    <t>замена пластикового окна п.5</t>
  </si>
  <si>
    <t>Зачет по ИГТСК</t>
  </si>
  <si>
    <t>Адрес: ул. Подаптечная 1</t>
  </si>
  <si>
    <t>401410,25/185335,63*3819,2</t>
  </si>
  <si>
    <t>435991,01/185335,63*3819,2</t>
  </si>
  <si>
    <t>1082167,74/226605,83*3819,2</t>
  </si>
  <si>
    <t>845684,35/242356,05*3932,6</t>
  </si>
  <si>
    <t>642562,44/242356,05*3932,6</t>
  </si>
  <si>
    <t>51615/196822,43*3932,6</t>
  </si>
  <si>
    <t>129011,28/196822,43*3932,6</t>
  </si>
  <si>
    <t>164128/196822,43*3932,6</t>
  </si>
  <si>
    <t>298900,58/196822,43*3932,6</t>
  </si>
  <si>
    <t>ул.Подаптечная 1</t>
  </si>
  <si>
    <t>УФК Судебные приставы Куйбышевский район (госпошнина с исковых заявлений на взыскание задолженности кв.74)</t>
  </si>
  <si>
    <t>ООО "Домофонсервис" (диагностика и ремонт домофонов)</t>
  </si>
  <si>
    <t>Кадастровая палата (кодастровый паспорт)</t>
  </si>
  <si>
    <t>ООО "Монтэкристе" (снятие показаний, тех обслуживание теплового узла)</t>
  </si>
  <si>
    <t>Возврат госпошлины кв.22</t>
  </si>
  <si>
    <t>Использование общего имущества дома, реклама</t>
  </si>
  <si>
    <t>ул.Поленова 21</t>
  </si>
  <si>
    <t>401410,25/185335,63*3920,4</t>
  </si>
  <si>
    <t>435991,01/185335,63*3920,4</t>
  </si>
  <si>
    <t>1082167,74/226605,83*3920,4</t>
  </si>
  <si>
    <t>845684,35/242356,05*4487,4</t>
  </si>
  <si>
    <t>642562,44/242356,05*4487,4</t>
  </si>
  <si>
    <t>51615/196822,43*4487,4</t>
  </si>
  <si>
    <t>129011,28/196822,43*4487,4</t>
  </si>
  <si>
    <t>164128/196822,43*4487,4</t>
  </si>
  <si>
    <t>298900,58/196822,43*4487,4</t>
  </si>
  <si>
    <t>ООО "СК Электросвязь" (АСКУТЭ билинговое сопровождение)</t>
  </si>
  <si>
    <t>ООО "Домофонсервис" (установка металлической двери, электронная система для домофона п.2)</t>
  </si>
  <si>
    <t>ООО "МС Компания" (замки почтовые ящики кв.12,13, на эл.щитки )</t>
  </si>
  <si>
    <t>ООО "Ирклифтсервис" (обслуживание лифтов)</t>
  </si>
  <si>
    <t>оформление Новогодней ели</t>
  </si>
  <si>
    <t>ООО "СЦЭОС" (периодическое освидетельствование лифтов)</t>
  </si>
  <si>
    <t>ООО "Ювента" (реконструкция контейнерной площадки)</t>
  </si>
  <si>
    <t>ООО "Монтэкристе" (снятие показаний, тех обслуживание ИТП, установка клапана)</t>
  </si>
  <si>
    <t>ООО "Промстрой-38" (установка замков, задвижек)</t>
  </si>
  <si>
    <t>ул.Тимирязева 42</t>
  </si>
  <si>
    <t>401410,25/185335,63*7423,3</t>
  </si>
  <si>
    <t>435991,01/185335,63*7423,3</t>
  </si>
  <si>
    <t>1082167,74/226605,83*7423,3</t>
  </si>
  <si>
    <t>845684,35/242356,05*7779,8</t>
  </si>
  <si>
    <t>642562,44/242356,05*7779,8</t>
  </si>
  <si>
    <t>51615/196822,43*7779,8</t>
  </si>
  <si>
    <t>129011,28/196822,43*7779,8</t>
  </si>
  <si>
    <t>164128/196822,43*7779,8</t>
  </si>
  <si>
    <t>298900,58/196822,43*7779,8</t>
  </si>
  <si>
    <t>Дополнительные услуги(в т.ч.установка прибора учета ТЭ)</t>
  </si>
  <si>
    <t>ООО "СК Электросвязь" (АСКУТЭ билинговое сопровождение, подключение к системе)</t>
  </si>
  <si>
    <t>ООО "Монтэкристе" (снятие показаний ИТП)</t>
  </si>
  <si>
    <t>ООО "Монтэкристе" (установка приборов учета на ИТП)</t>
  </si>
  <si>
    <t>ООО "ИГТСК"(выдача тех условий, проверка проекта ИТП)</t>
  </si>
  <si>
    <t>ремонт подъезда №8</t>
  </si>
  <si>
    <t>ООО "Промстрой-38" (установка замка, решеток)</t>
  </si>
  <si>
    <t>окраска контейнерной площадки</t>
  </si>
  <si>
    <t>ООО "Монтэкристе" (снятие показаний, тех обслуживание ИТП, установка регулятора, датчиков наруж.воздуха)</t>
  </si>
  <si>
    <t>401410,25/185335,63*2153</t>
  </si>
  <si>
    <t>435991,01/185335,63*2153</t>
  </si>
  <si>
    <t>1082167,74/226605,83*2153</t>
  </si>
  <si>
    <t>845684,35/242356,05*2153</t>
  </si>
  <si>
    <t>642562,44/242356,05*2153</t>
  </si>
  <si>
    <t>51615/196822,43*2153</t>
  </si>
  <si>
    <t>129011,28/196822,43*2153</t>
  </si>
  <si>
    <t>164128/196822,43*2153</t>
  </si>
  <si>
    <t>298900,58/196822,43*2153</t>
  </si>
  <si>
    <t>Отчетный период с 01.01.12г. По 31.01.12г.</t>
  </si>
  <si>
    <t>ремонт вентиляционных труб</t>
  </si>
  <si>
    <t>ООО "Монтэкристе" (снятие показаний, тех обслуживание ИТП)</t>
  </si>
  <si>
    <t>окраска полов п.1</t>
  </si>
  <si>
    <t>установка вентилей на системе ГВС</t>
  </si>
  <si>
    <t>замена пластикого окна в подвале</t>
  </si>
  <si>
    <t>Директор ООО "Приоритет"</t>
  </si>
  <si>
    <t>ул.Култукская 11</t>
  </si>
  <si>
    <t>Исполнитель: экономист</t>
  </si>
  <si>
    <t>Санитарное состояние (подъезд №1,2)</t>
  </si>
  <si>
    <t>Отчетный период с 01.01.12г. По 31.12.12г.</t>
  </si>
  <si>
    <t>401410,25/185335,63*3440,7</t>
  </si>
  <si>
    <t>435991,01/185335,63*3440,7</t>
  </si>
  <si>
    <t>129011,28/196822,43*4077</t>
  </si>
  <si>
    <t>298900,58/196822,43*4077</t>
  </si>
  <si>
    <t>51615/196822,43*4077</t>
  </si>
  <si>
    <t>Доход от нежилых помещений, в т.ч. реклама</t>
  </si>
  <si>
    <t>Остаток на 01.01.2013г.</t>
  </si>
  <si>
    <t>Остаток на 01.01.2013г. с учетом задолженности</t>
  </si>
  <si>
    <t>1082167,74/185335,63*3440,7</t>
  </si>
  <si>
    <t>845684,35/196822,43*4077</t>
  </si>
  <si>
    <t>622234,26/196822,43*4077</t>
  </si>
  <si>
    <t>192158/196822,43*4077</t>
  </si>
  <si>
    <t>Установка домофонов</t>
  </si>
  <si>
    <t>Отчетный период с 01.12.07г. по 31.05.08г.</t>
  </si>
  <si>
    <t>Отчетный период с 01.06.07г. по 31.11.07г.</t>
  </si>
  <si>
    <t>Наименование статей</t>
  </si>
  <si>
    <t>Доходы по факту</t>
  </si>
  <si>
    <t>Адрес: ул. Поленова 16</t>
  </si>
  <si>
    <t>Устранение аварии по вине ООО "Энтузиаст"</t>
  </si>
  <si>
    <t>Санитарное состояние подъездов (п.2,3)</t>
  </si>
  <si>
    <t>ул.Красноказачья 2</t>
  </si>
  <si>
    <t>Возмещение расходов за помещение ООО "Приоритет"</t>
  </si>
  <si>
    <t>Возмещение за освещение подвала</t>
  </si>
  <si>
    <t>Уборка подъездов (подъезд №2,3)</t>
  </si>
  <si>
    <t>Санитарное состояние (п.5)</t>
  </si>
  <si>
    <t>Дополнительная услуга</t>
  </si>
  <si>
    <t>Размещение рекламной информации в подъездах</t>
  </si>
  <si>
    <t xml:space="preserve">Площадь квартир общая: </t>
  </si>
  <si>
    <t>м2</t>
  </si>
  <si>
    <t>МУП БТИ (техническая инвентаризация)</t>
  </si>
  <si>
    <t>в т.ч.</t>
  </si>
  <si>
    <t>ЗАО "Байкал-ТрансТелеКом"(использование мест общего пользования)</t>
  </si>
  <si>
    <t>ОТЧЕТ</t>
  </si>
  <si>
    <t>ремонт подъезда №2</t>
  </si>
  <si>
    <t>Аварийное обслуживание (ООО "Аварийная служба)</t>
  </si>
  <si>
    <t>Адрес: ул. Энгельса 7</t>
  </si>
  <si>
    <t>401410,25/185335,63*1581,3</t>
  </si>
  <si>
    <t>435991,01/185335,63*1581,3</t>
  </si>
  <si>
    <t>1082167,74/226605,83*1581,3</t>
  </si>
  <si>
    <t>845684,35/242356,05*1703,4</t>
  </si>
  <si>
    <t>642562,44/242356,05*1703,4</t>
  </si>
  <si>
    <t>51615/196822,43*1703,4</t>
  </si>
  <si>
    <t>129011,28/196822,43*1703,4</t>
  </si>
  <si>
    <t>164128/196822,43*1703,4</t>
  </si>
  <si>
    <t>298900,58/196822,43*1703,4</t>
  </si>
  <si>
    <t>Дополнительные услуги(установка приборов учета ТЭ)</t>
  </si>
  <si>
    <t>ООО "СК Электросвязь" (подключение к системе АСКУТЭ, билинговое сопровождение)</t>
  </si>
  <si>
    <t>ООО "Монтэкристе" (установка счетчика на ИТП )</t>
  </si>
  <si>
    <t>ООО "ИГТСК" (выдача тех.условий,проверка проекта ИТП)</t>
  </si>
  <si>
    <t>Адрес: ул. Энгельса 9</t>
  </si>
  <si>
    <t>401410,25/185335,63*1727,8</t>
  </si>
  <si>
    <t>435991,01/185335,63*1727,8</t>
  </si>
  <si>
    <t>1082167,74/226605,83*1727,8</t>
  </si>
  <si>
    <t>845684,35/242356,05*1727,8</t>
  </si>
  <si>
    <t>642562,44/242356,05*1727,8</t>
  </si>
  <si>
    <t>51615/196822,43*1727,8</t>
  </si>
  <si>
    <t>129011,28/196822,43*1727,8</t>
  </si>
  <si>
    <t>164128/196822,43*1727,8</t>
  </si>
  <si>
    <t>298900,58/196822,43*1727,8</t>
  </si>
  <si>
    <t>ООО "Домофон сервис"( установка металлической двери, электронной системы для домофона п.2)</t>
  </si>
  <si>
    <t>Дополнительные услуги(в т.ч. установка приборов учета ТЭ)</t>
  </si>
  <si>
    <t>ООО "Монтэкристе" (установка счетчика учета ТЭ )</t>
  </si>
  <si>
    <t>401410,25/185335,63*4287,43</t>
  </si>
  <si>
    <t>435991,01/185335,63*4287,43</t>
  </si>
  <si>
    <t>1082167,74/226605,83*4287,431</t>
  </si>
  <si>
    <t>845684,35/242356,05*4354,03</t>
  </si>
  <si>
    <t>642562,44/242356,05*4354,03</t>
  </si>
  <si>
    <t>51615/196822,43*4354,03</t>
  </si>
  <si>
    <t>129011,28/196822,43*4354,03</t>
  </si>
  <si>
    <t>164128/196822,43*4354,03</t>
  </si>
  <si>
    <t>298900,58/196822,43*4354,03</t>
  </si>
  <si>
    <t>ул.Лызина 50</t>
  </si>
  <si>
    <t>ул.Советская 81</t>
  </si>
  <si>
    <t>ул.Советская 83</t>
  </si>
  <si>
    <t>Содержание обслуживающего персонала</t>
  </si>
  <si>
    <t>Капитальный ремонт</t>
  </si>
  <si>
    <t>Адрес: ул. Ф.Энгельса 5</t>
  </si>
  <si>
    <t>Подрядная организация ИП Селяндина Т.Н. - всего</t>
  </si>
  <si>
    <t>-</t>
  </si>
  <si>
    <t>Кап.ремонт</t>
  </si>
  <si>
    <t>Отчетный период с 01.11.09г. По 31.10.10г.</t>
  </si>
  <si>
    <t>Коммунальные услуги населения по сбербанку</t>
  </si>
  <si>
    <t>ул.Поленова 12</t>
  </si>
  <si>
    <t>Отчетный период с 01.01.12г. По 30.06.12г.</t>
  </si>
  <si>
    <t>ул.Аэрофлотская 3</t>
  </si>
  <si>
    <t>ул.Советская 85</t>
  </si>
  <si>
    <t>ул.Д.Событий 87</t>
  </si>
  <si>
    <t>ООО "РСФ Беста" (тех.обслуживание вен.шахт в домах с газовым оборудованием)</t>
  </si>
  <si>
    <t>401410,25/185335,63*1752,6</t>
  </si>
  <si>
    <t>435991,01/185335,63*1752,6</t>
  </si>
  <si>
    <t>1082167,74/226605,83*1752,6</t>
  </si>
  <si>
    <t>845684,35/242356,05*2071,7</t>
  </si>
  <si>
    <t>Долг на 01.01.2013г.</t>
  </si>
  <si>
    <t>622234,26/242356,05*2071,7</t>
  </si>
  <si>
    <t>51615/196822,43*2071,7</t>
  </si>
  <si>
    <t>129011,28/196822,43*2071,7</t>
  </si>
  <si>
    <t>164128/196822,43*2071,7</t>
  </si>
  <si>
    <t>298900,58/196822,43*2071,7</t>
  </si>
  <si>
    <t>ул.Б.Хмельницкого 11</t>
  </si>
  <si>
    <t>Дополнительные услуги (установка теплосчетчика)</t>
  </si>
  <si>
    <t>ООО "ИГТСК"(выдача тех.условия на установку узла учета т/энергии, проверка проекта)</t>
  </si>
  <si>
    <t>ООО "Монтэкристе" (установка теплосчетчиков)</t>
  </si>
  <si>
    <t>УФС Госрегистрации (выписки из ЕГР для всыскания задолженности)</t>
  </si>
  <si>
    <t>401410,25/185335,63*1208,5</t>
  </si>
  <si>
    <t>435991,01/185335,63*1208,5</t>
  </si>
  <si>
    <t>1082167,74/226605,83*1208,5</t>
  </si>
  <si>
    <t>845684,35/242356,05*1299,5</t>
  </si>
  <si>
    <t>51615/196822,43*1299,5</t>
  </si>
  <si>
    <t>129011,28/196822,43*1299,5</t>
  </si>
  <si>
    <t>164128/196822,43*1299,5</t>
  </si>
  <si>
    <t>298900,58/196822,43*1299,5</t>
  </si>
  <si>
    <t>ул.Поленова 27</t>
  </si>
  <si>
    <t>прочистка вент.каналов кв.23</t>
  </si>
  <si>
    <t>прочистка вент.каналов кв.34</t>
  </si>
  <si>
    <t>Электроэнергия</t>
  </si>
  <si>
    <t>прочистка дворовой канализации</t>
  </si>
  <si>
    <t>Оплата коммунальных услуг за нежилые помещения</t>
  </si>
  <si>
    <t>Сборы за резмещение рекламы на фасаде дома</t>
  </si>
  <si>
    <t>Отчетный период с 01.05.10г. по 30.04.11г.</t>
  </si>
  <si>
    <t>Дополнительная услуга (установка двери и домофона п.1)</t>
  </si>
  <si>
    <t>Адрес: ул. Поленова 12</t>
  </si>
  <si>
    <t>Адрес: ул. Култукская 11</t>
  </si>
  <si>
    <t>очистка кровли от снега</t>
  </si>
  <si>
    <t>Доходы за использование мест общего пользования (ЗАО Байкал ТТК)</t>
  </si>
  <si>
    <t>Спонсорская помощь Таюрский А.И.</t>
  </si>
  <si>
    <t>Адрес: ул.Красноказачья 8А</t>
  </si>
  <si>
    <t>Сборы за сдачу в аренду рекламного места</t>
  </si>
  <si>
    <t>Уборка подъездов (подъезд №3)</t>
  </si>
  <si>
    <t>Адрес: ул. Советская 81</t>
  </si>
  <si>
    <t>РАСХОДЫ</t>
  </si>
  <si>
    <t>1.1</t>
  </si>
  <si>
    <t>Отчетный период с 01.09.09г. По 31.08.10г.</t>
  </si>
  <si>
    <t>ремонт подъезда №1</t>
  </si>
  <si>
    <t>ремонт канализации п.6</t>
  </si>
  <si>
    <t>освещение элеваторного узла</t>
  </si>
  <si>
    <t>ул.Советская 79</t>
  </si>
  <si>
    <t>Отчетный период с 01.01.08г. По 31.12.08г.</t>
  </si>
  <si>
    <t>ремонт кровли п.1,3</t>
  </si>
  <si>
    <t>ремонт цоколя</t>
  </si>
  <si>
    <t>расходы на управление домом</t>
  </si>
  <si>
    <t>Расходы на управление домом</t>
  </si>
  <si>
    <t>изоляция розлива отопления</t>
  </si>
  <si>
    <t>ООО "СК Электросвязь" (подключение к системе АСКУТЭ)</t>
  </si>
  <si>
    <t>содержание обслуживающего персонала (уборка офиса,автоуслуги)</t>
  </si>
  <si>
    <t>Сборы за экспл.расходы(нежилые помещения)</t>
  </si>
  <si>
    <t>Спонсорская помощь Татаринова А.А.</t>
  </si>
  <si>
    <t>Дополнительные услуги(установка прибора учета ХВС)</t>
  </si>
  <si>
    <t>ОАО "Дезирс" (обработка подвалов от тараканов)</t>
  </si>
  <si>
    <t>окраска ограждений</t>
  </si>
  <si>
    <t>401410,25/185335,63*2268,5</t>
  </si>
  <si>
    <t>435991,01/185335,63*2268,5</t>
  </si>
  <si>
    <t>1082167,74/226605,83*2268,5</t>
  </si>
  <si>
    <t>845684,35/242356,05*2410</t>
  </si>
  <si>
    <t>642562,44/242356,05*2410</t>
  </si>
  <si>
    <t>51615/196822,43*2410</t>
  </si>
  <si>
    <t>129011,28/196822,43*2410</t>
  </si>
  <si>
    <t>164128/196822,43*2410</t>
  </si>
  <si>
    <t>298900,58/196822,43*2410</t>
  </si>
  <si>
    <t>УФК Судебные приставы по Куйбышевскому району (госпошнина с исковых заявлений по взысканию задолженности кв.6)</t>
  </si>
  <si>
    <t>УФК Судебные приставы по Куйбышевскому району (госпошнина с исковых заявлений по взысканию задолженности кв.46)</t>
  </si>
  <si>
    <t>401410,25/185335,63*2363,4</t>
  </si>
  <si>
    <t>435991,01/185335,63*2363,4</t>
  </si>
  <si>
    <t>1082167,74/226605,83*2363,4</t>
  </si>
  <si>
    <t>845684,35/242356,05*2476</t>
  </si>
  <si>
    <t>642562,44/242356,05*2476</t>
  </si>
  <si>
    <t>51615/196822,43*2476</t>
  </si>
  <si>
    <t>129011,28/196822,43*2476</t>
  </si>
  <si>
    <t>164128/196822,43*2476</t>
  </si>
  <si>
    <t>298900,58/196822,43*2476</t>
  </si>
  <si>
    <t>Возврат госпошлины кв.26</t>
  </si>
  <si>
    <t>смена стояков ХВС, ГВС кв. 42,46,50</t>
  </si>
  <si>
    <t xml:space="preserve">завоз земли </t>
  </si>
  <si>
    <t>замена окна из ПВХ п.3</t>
  </si>
  <si>
    <t>401410,25/185335,63*2448,5</t>
  </si>
  <si>
    <t>435991,01/185335,63*2448,5</t>
  </si>
  <si>
    <t>1082167,74/226605,83*2448,5</t>
  </si>
  <si>
    <t>845684,35/242356,05*2778,4</t>
  </si>
  <si>
    <t>642562,44/242356,05*2778,4</t>
  </si>
  <si>
    <t>51615/196822,43*2778,4</t>
  </si>
  <si>
    <t>129011,28/196822,43*2778,4</t>
  </si>
  <si>
    <t>164128/196822,43*2778,4</t>
  </si>
  <si>
    <t>298900,58/196822,43*2778,4</t>
  </si>
  <si>
    <t>ремонт водосточной трубы с автовышки</t>
  </si>
  <si>
    <t>прочистка вентиляционных каналов кв.13</t>
  </si>
  <si>
    <t>ИП Якубов (изготовление и монтаж ограждений)</t>
  </si>
  <si>
    <t>Сдача металлолома</t>
  </si>
  <si>
    <t>ул.Д.Событий 119</t>
  </si>
  <si>
    <t>ул.Лызина 40</t>
  </si>
  <si>
    <t>завоз земли</t>
  </si>
  <si>
    <t>вывоз снега</t>
  </si>
  <si>
    <t>Обслуживание общедомовых приборов учета</t>
  </si>
  <si>
    <t>Размещение рекламы на фасаде</t>
  </si>
  <si>
    <t>Капитальный ремонт (кв.20,22)</t>
  </si>
  <si>
    <t>ремонт подъезда №4</t>
  </si>
  <si>
    <t>Адрес: ул. Советская 67</t>
  </si>
  <si>
    <t>Адрес: ул.Д.Событий 105А</t>
  </si>
  <si>
    <t>Адрес: ул. Красноказачья 2</t>
  </si>
  <si>
    <t>Содержание общего имущества дома</t>
  </si>
  <si>
    <t>Подрядная организация ООО "Профессионал" - всего</t>
  </si>
  <si>
    <t>Подрядная организация ИП Силина В.Н. - всего</t>
  </si>
  <si>
    <t>ВСЕГО   РАСХОДОВ</t>
  </si>
  <si>
    <t>Отчетный период с 01.04.06г. по 31.03.07г.</t>
  </si>
  <si>
    <t>Отчетный период с 01.04.07г. по 31.03.08г.</t>
  </si>
  <si>
    <t>Доходы от нежилых помещений</t>
  </si>
  <si>
    <t>Доход от размещения рекламы на фасаде</t>
  </si>
  <si>
    <t>Адрес: ул. Аэрофлотская 1</t>
  </si>
  <si>
    <t>Лифт</t>
  </si>
  <si>
    <t>ул. Бограда 4</t>
  </si>
  <si>
    <t>Подрядная организация ИП Клюшницын В.А. в т.ч. ремонт подъезда №2</t>
  </si>
  <si>
    <t>Отчетный период с 01.12.09г. По 30.11.10г.</t>
  </si>
  <si>
    <t xml:space="preserve">Санитарное состояние </t>
  </si>
  <si>
    <t>Сборы за эксплуатационные расходы ООО "Энтузиаст"</t>
  </si>
  <si>
    <t>Отчетный период с 01.01.08г. По 30.06.08г.</t>
  </si>
  <si>
    <t>Отчетный период с 01.07.07г. По 31.12.07г.</t>
  </si>
  <si>
    <t>Отчетный период с 01.11.10г. По 31.10.11г.</t>
  </si>
  <si>
    <t>Отчетный период с 01.01.09г. По 31.12.09г.</t>
  </si>
  <si>
    <t>Спонсорская помощь на установку козырька п.1</t>
  </si>
  <si>
    <t>долг</t>
  </si>
  <si>
    <t>Начисление</t>
  </si>
  <si>
    <t>Адрес: пр.Угольный 78</t>
  </si>
  <si>
    <t>Электроосвещение</t>
  </si>
  <si>
    <t>Адрес: ул. Д.Событий 87</t>
  </si>
  <si>
    <t>Подрядная организация ООО "ТранскомСВ" - всего</t>
  </si>
  <si>
    <t>51615/196822,43*2527,1</t>
  </si>
  <si>
    <t>129011,28/196822,43*2527,1</t>
  </si>
  <si>
    <t>164128/196822,43*2527,1</t>
  </si>
  <si>
    <t>298900,58/196822,43*2527,1</t>
  </si>
  <si>
    <t>прочистка вент.каналов кв.51</t>
  </si>
  <si>
    <t>ул.Советская 69</t>
  </si>
  <si>
    <t>401410,25/185335,63*2476,5</t>
  </si>
  <si>
    <t>435991,01/185335,63*2476,5</t>
  </si>
  <si>
    <t>1082167,74/226605,83*2476,5</t>
  </si>
  <si>
    <t>845684,35/242356,05*2611</t>
  </si>
  <si>
    <t>642562,44/242356,05*2611</t>
  </si>
  <si>
    <t>51615/196822,43*2611</t>
  </si>
  <si>
    <t>129011,28/196822,43*2611</t>
  </si>
  <si>
    <t>164128/196822,43*2611</t>
  </si>
  <si>
    <t>298900,58/196822,43*2611</t>
  </si>
  <si>
    <t>прочистка вент.каналов кв.6</t>
  </si>
  <si>
    <t>ООО "Иркутскоблгаз" (тех.обслуживание газового оборудования)</t>
  </si>
  <si>
    <t>1.2</t>
  </si>
  <si>
    <t>Отчетный период с 01.08.11г. по 31.12.11г.</t>
  </si>
  <si>
    <t>Отчетный период с 01.03.09г. по 28.02.10г.</t>
  </si>
  <si>
    <t>Отчетный период с 01.03.08г. по 28.02.09г.</t>
  </si>
  <si>
    <t>Установка домофона</t>
  </si>
  <si>
    <t>Адрес: ул. Советская 65</t>
  </si>
  <si>
    <t>налог по УСН</t>
  </si>
  <si>
    <t>ООО "СК Электросвязь" (билинговое сопровождение АСКУТЭ)</t>
  </si>
  <si>
    <t>ИП Волкова (завоз земли)</t>
  </si>
  <si>
    <t>УФК Кадастровая палата (кадастровый паспорт)</t>
  </si>
  <si>
    <t>ИП Станиславский Ю.С. (монтаж оконных блоков п.1)</t>
  </si>
  <si>
    <t>ООО "Монтэкристе"(установка водомерного узла)</t>
  </si>
  <si>
    <t>ООО "Тех Авангард" (счетчик ХВС Д25)</t>
  </si>
  <si>
    <t>очистка чердака и подвала</t>
  </si>
  <si>
    <t>642562,44/242356,05*1299,5</t>
  </si>
  <si>
    <t>Подрядная организация ООО "Быт Сервис" - всего</t>
  </si>
  <si>
    <t>Подрядная организация ООО "Быт Сервис"(электрики)</t>
  </si>
  <si>
    <t>401410,25/185335,63*2788,2</t>
  </si>
  <si>
    <t>435991,01/185335,63*2788,2</t>
  </si>
  <si>
    <t>1082167,74/226605,83*2788,2</t>
  </si>
  <si>
    <t>845684,35/242356,05*3518,9</t>
  </si>
  <si>
    <t>642562,44/242356,05*3518,9</t>
  </si>
  <si>
    <t>51615/196822,43*3518,9</t>
  </si>
  <si>
    <t>129011,28/196822,43*3518,9</t>
  </si>
  <si>
    <t>164128/196822,43*3518,9</t>
  </si>
  <si>
    <t>298900,58/196822,43*3518,9</t>
  </si>
  <si>
    <t>ООО "Монтэкристе" (снятие показаний, тех.обслуживание теплового пункта)</t>
  </si>
  <si>
    <t>ИП Якубов (изготовление и монтаж козырькаи над входом в подъезд №4)</t>
  </si>
  <si>
    <t>Кадастровая палата (кадастровый паспорт)</t>
  </si>
  <si>
    <t>вывоз упавших веток, дерева</t>
  </si>
  <si>
    <t>ООО "Монтэкристе"(снятие показаний)</t>
  </si>
  <si>
    <t>Отчетный период с 01.12.07г. По 30.11.08г.</t>
  </si>
  <si>
    <t>Отчетный период с 01.12.08г. По 30.11.09г.</t>
  </si>
  <si>
    <t>Отчетный период с 01.01.07г. По 31.12.07г.</t>
  </si>
  <si>
    <t>Адрес: ул.Красноказачья 21</t>
  </si>
  <si>
    <t>Коммунальные услуги за нежилые помещения</t>
  </si>
  <si>
    <t>Общедомовые приборы учета</t>
  </si>
  <si>
    <t>Адрес: ул. Ямская 40</t>
  </si>
  <si>
    <t>ремонт щитовой</t>
  </si>
  <si>
    <t>Сборы за размещение рекламы на фасаде</t>
  </si>
  <si>
    <t>Подрядная организация ИП Селяндина Т.Н.</t>
  </si>
  <si>
    <t>ремонт отмостки</t>
  </si>
  <si>
    <t>услуги паспортного стола</t>
  </si>
  <si>
    <t>очистка чердака</t>
  </si>
  <si>
    <t>Спонсорская помощь</t>
  </si>
  <si>
    <t>Адрес: ул. Тимирязева 42</t>
  </si>
  <si>
    <t>Адрес: ул. Советская 93</t>
  </si>
  <si>
    <t>Санитарное состояние (п.1)</t>
  </si>
  <si>
    <t>МУП ВКХ (слив нечистот)</t>
  </si>
  <si>
    <t>Сборы за размещение рекламы на фасаде дома</t>
  </si>
  <si>
    <t>Долг за отчетный период</t>
  </si>
  <si>
    <t>Всего</t>
  </si>
  <si>
    <t>стоимость используемых материалов</t>
  </si>
  <si>
    <t>Отчетный период с 01.10.10г. По 31.12.11г.</t>
  </si>
  <si>
    <t>Отчетный период с 01.07.09г. По 30.06.10г.</t>
  </si>
  <si>
    <t>Адрес: ул. Лызина 40</t>
  </si>
  <si>
    <t>Уборка мест общего пользования</t>
  </si>
  <si>
    <t>Адрес: ул. Советская 115</t>
  </si>
  <si>
    <t>Адрес: ул. Советская 69</t>
  </si>
  <si>
    <t>ООО "Санд"(оплата за замену обтатного клапана)</t>
  </si>
  <si>
    <t>Сборы за размещение рекламы на фасаде дома и использование общего имущества дома</t>
  </si>
  <si>
    <t>Адрес: ул. Д.Событий 103</t>
  </si>
  <si>
    <t>Адрес: ул. Поленова 23</t>
  </si>
  <si>
    <t>Налоги, в т.ч:</t>
  </si>
  <si>
    <t>Отчетный период с 01.09.10г. По 31.12.11г.</t>
  </si>
  <si>
    <t>Обслуживание домофона</t>
  </si>
  <si>
    <t>Прочие услуги</t>
  </si>
  <si>
    <t>Спонсорская помощь на установку пластиковых окон п.1</t>
  </si>
  <si>
    <t>Дополнительная услуга по кап.ремонту(ЗАО "МАКС-НДМ")</t>
  </si>
  <si>
    <t>услуги бухгалтера по начислению коммунальных услуг</t>
  </si>
  <si>
    <t>Адрес: ул. Д.Событий 103д</t>
  </si>
  <si>
    <t>ул.Энгельса 9</t>
  </si>
  <si>
    <t>Отчетный период с 01.09.07г. По 31.08.08г.</t>
  </si>
  <si>
    <t>Отчетный период с 01.09.08г. По 31.08.09г.</t>
  </si>
  <si>
    <t>Санитарное состояние подъездов (п.2,6)</t>
  </si>
  <si>
    <t>Адрес: пер.Пионерский 3</t>
  </si>
  <si>
    <t>Отчетный период с 01.04.08г. по 31.03.09г.</t>
  </si>
  <si>
    <t>Отчетный период с 01.04.09г. по 31.03.10г.</t>
  </si>
  <si>
    <t>Уборка подъезда №6</t>
  </si>
  <si>
    <t>Адрес: ул. Поленова 10</t>
  </si>
  <si>
    <t>Санитарное состояние подъездов</t>
  </si>
  <si>
    <t>Отчетный период с 01.01.10г. По 31.12.10г.</t>
  </si>
  <si>
    <t>Санитарное состояние (п.2-7)</t>
  </si>
  <si>
    <t>Адрес: ул. Поленова 27</t>
  </si>
  <si>
    <t>Отчетный период с 01.06.09г. по 31.05.10г.</t>
  </si>
  <si>
    <t>Отчетный период с 01.06.08г. по 31.05.09г.</t>
  </si>
  <si>
    <t>Санитарное состояние подъездов (п.1,2)</t>
  </si>
  <si>
    <t>Дополнительные услуги</t>
  </si>
  <si>
    <t xml:space="preserve">диспетчерская служба </t>
  </si>
  <si>
    <t>Подрядная организация ООО "Профессионал"</t>
  </si>
  <si>
    <t>Возмещение затрат на электроэнергию (ИП Клюшницын В.А.)</t>
  </si>
  <si>
    <t>Отчетный период с 01.10.09г. По 30.09.10г.</t>
  </si>
  <si>
    <t>ООО "Монтэкристе" (снятие показаний)</t>
  </si>
  <si>
    <t>Отчетный период с 01.05.08г. по 30.04.09г.</t>
  </si>
  <si>
    <t>ул.Советская 87</t>
  </si>
  <si>
    <t>Домофон</t>
  </si>
  <si>
    <t>Подрядная организация ООО "ТранскомСВ"(электрики)</t>
  </si>
  <si>
    <t>ул.Советская 93</t>
  </si>
  <si>
    <t>ул.Энгельса 7</t>
  </si>
  <si>
    <t>ул.Советская 115</t>
  </si>
  <si>
    <t>Спонсорская помощь на ремонт п.1</t>
  </si>
  <si>
    <t>Отчетный период с 01.12.10г. По 31.12.11г.</t>
  </si>
  <si>
    <t>ул.Д.Событий 103б</t>
  </si>
  <si>
    <t>Возмещение затрат на коммунальные услуги (ИП Силина В.Н.)</t>
  </si>
  <si>
    <t>Возмещение затрат на коммунальные услуги (ИП Клюшницын В.А.)</t>
  </si>
  <si>
    <t>ООО "ИркутскЛифтСервис" (обслуживание лифтов)</t>
  </si>
  <si>
    <t>Адрес: ул. Советская 75</t>
  </si>
  <si>
    <t>ООО "Байкальские окна" (изготовление оконных блоков п.1)</t>
  </si>
  <si>
    <t>Адрес: ул. Б.Хмельницкого 11</t>
  </si>
  <si>
    <t>Отчетный период с 01.05.11г. по 31.12.11г.</t>
  </si>
  <si>
    <t>ул.Поленова 23</t>
  </si>
  <si>
    <t>за период с 01 января 2012г. по 31 декабря 2012г.</t>
  </si>
  <si>
    <t>ремонт подъезда №2 в 4а</t>
  </si>
  <si>
    <t>ООО "ИГТСК"(выдача тех.условия на установку узла учета т/энергии)</t>
  </si>
  <si>
    <t>ул.Поленова 10</t>
  </si>
  <si>
    <t>Отчетный период с 01.04.11г. По 31.12.11г.</t>
  </si>
  <si>
    <t>ТСЖ "На Красноказачьей"(уборка контейнерной площадки)</t>
  </si>
  <si>
    <t>Капитальный ремонт (5%)</t>
  </si>
  <si>
    <t>Подрядная организация ИП Силина В.Н.</t>
  </si>
  <si>
    <t>Нежилые помещения</t>
  </si>
  <si>
    <t>Отчетный период с 01.11.11г. По 31.12.11г.</t>
  </si>
  <si>
    <t>Остаток на 01.01.2012 г.</t>
  </si>
  <si>
    <t>обслуживание домофона</t>
  </si>
  <si>
    <t>ул.Ямская 40</t>
  </si>
  <si>
    <t>401410,25/185335,63*1990,2</t>
  </si>
  <si>
    <t>435991,01/185335,63*1990,2</t>
  </si>
  <si>
    <t>1082167,74/226605,83*1990,2</t>
  </si>
  <si>
    <t>845684,35/242356,05*1990,2</t>
  </si>
  <si>
    <t>642562,44/242356,05*1990,2</t>
  </si>
  <si>
    <t>51615/196822,43*1990,2</t>
  </si>
  <si>
    <t>129011,28/196822,43*1990,2</t>
  </si>
  <si>
    <t>164128/196822,43*1990,2</t>
  </si>
  <si>
    <t>298900,58/196822,43*1990,2</t>
  </si>
  <si>
    <t>замена окна из ПВХ п.2</t>
  </si>
  <si>
    <t>УФК Судебные приставы по Куйбышевскому району (госпошнина с исковых заявлений по взысканию задолженности кв.25)</t>
  </si>
  <si>
    <t>Дополнительные услуги(почтовые ящики п.1)</t>
  </si>
  <si>
    <t>ФБУ Иркутский ЦСМ (поверка общедомового прибора учета ХВС)</t>
  </si>
  <si>
    <t>401410,25/185335,63*4068,9</t>
  </si>
  <si>
    <t>435991,01/185335,63*4068,9</t>
  </si>
  <si>
    <t>1082167,74/226605,83*4068,9</t>
  </si>
  <si>
    <t>845684,35/242356,05*4376,6</t>
  </si>
  <si>
    <t>642562,44/242356,05*4376,6</t>
  </si>
  <si>
    <t>51615/196822,43*4376,6</t>
  </si>
  <si>
    <t>129011,28/196822,43*4376,6</t>
  </si>
  <si>
    <t>164128/196822,43*4376,6</t>
  </si>
  <si>
    <t>298900,58/196822,43*4376,6</t>
  </si>
  <si>
    <t>ООО "СК Электросвязь" (подключение к системе, билинговое сопровождение АСКУТЭ)</t>
  </si>
  <si>
    <t>возмещение ущерба кв.47</t>
  </si>
  <si>
    <t>ЗАО "МАКС НДМ" (постановительные работы входной группы и лестничных маршей п.2)</t>
  </si>
  <si>
    <t>Подрядная организация ИП Селяндина Т.Н., в т.ч. ремонт подъезда №3, цоколя</t>
  </si>
  <si>
    <t>Адрес: ул.Д.Событий 103А</t>
  </si>
  <si>
    <t>ул.Д.Событий 103а</t>
  </si>
  <si>
    <t>401410,25/185335,63*3344,2</t>
  </si>
  <si>
    <t>435991,01/185335,63*3344,2</t>
  </si>
  <si>
    <t>1082167,74/226605,83*3344,2</t>
  </si>
  <si>
    <t>845684,35/242356,05*3506,8</t>
  </si>
  <si>
    <t>642562,44/242356,05*3506,8</t>
  </si>
  <si>
    <t>51615/196822,43*3506,8</t>
  </si>
  <si>
    <t>129011,28/196822,43*3506,8</t>
  </si>
  <si>
    <t>164128/196822,43*3506,8</t>
  </si>
  <si>
    <t>298900,58/196822,43*3506,8</t>
  </si>
  <si>
    <t>вывоз мусора и веток</t>
  </si>
  <si>
    <t>ремонт освещения подъезд №6</t>
  </si>
  <si>
    <t>Подрядная организация ИП Селяндина Т.Н., в т.ч. ремонт подъезда №6</t>
  </si>
  <si>
    <t>Подрядная организация ООО "Быт Сервис"(электрики), в т.ч. ремонт освещения подъезд №6</t>
  </si>
  <si>
    <t>Адрес: ул.Д.Событий 105в</t>
  </si>
  <si>
    <t>ул.Д.Событий 105в</t>
  </si>
  <si>
    <t>401410,25/185335,63*4927,3</t>
  </si>
  <si>
    <t>435991,01/185335,63*4927,3</t>
  </si>
  <si>
    <t>1082167,74/226605,83*4927,3</t>
  </si>
  <si>
    <t>845684,35/242356,05*5523,1</t>
  </si>
  <si>
    <t>642562,44/242356,05*5523,1</t>
  </si>
  <si>
    <t>51615/196822,43*5523,1</t>
  </si>
  <si>
    <t>129011,28/196822,43*5523,1</t>
  </si>
  <si>
    <t>164128/196822,43*5523,1</t>
  </si>
  <si>
    <t>298900,58/196822,43*5523,1</t>
  </si>
  <si>
    <t>УФК Судебные приставы по куйбышевскому району (госпошнина с исковых заявлений по взысканию задолженности кв.69,81)</t>
  </si>
  <si>
    <t>ООО "Промстрой-38"( изготовление и монтаж металлической двери чердачное помещение п.4)</t>
  </si>
  <si>
    <t>ул.Красноказачья 8а</t>
  </si>
  <si>
    <t>401410,25/185335,63*3336,7</t>
  </si>
  <si>
    <t>435991,01/185335,63*3336,7</t>
  </si>
  <si>
    <t>1082167,74/226605,83*3336,7</t>
  </si>
  <si>
    <t>845684,35/242356,05*3409,6</t>
  </si>
  <si>
    <t>642562,44/242356,05*3409,6</t>
  </si>
  <si>
    <t>51615/196822,43*3409,6</t>
  </si>
  <si>
    <t>129011,28/196822,43*3409,6</t>
  </si>
  <si>
    <t>164128/196822,43*3409,6</t>
  </si>
  <si>
    <t>298900,58/196822,43*3409,6</t>
  </si>
  <si>
    <t>УФК Судебные приставы (взыскание госпошлины с исковых заявлений по взысканию задолженности кв.33,36)</t>
  </si>
  <si>
    <t>прочистка вент.каналов кв. 28</t>
  </si>
  <si>
    <t>ул.Красноказачья 21</t>
  </si>
  <si>
    <t>401410,25/185335,63*6648,3</t>
  </si>
  <si>
    <t>435991,01/185335,63*6648,3</t>
  </si>
  <si>
    <t>1082167,74/226605,83*6648,3</t>
  </si>
  <si>
    <t>845684,35/242356,05*7669,4</t>
  </si>
  <si>
    <t>642562,44/242356,05*7669,4</t>
  </si>
  <si>
    <t>51615/196822,43*7669,4</t>
  </si>
  <si>
    <t>129011,28/196822,43*7669,4</t>
  </si>
  <si>
    <t>164128/196822,43*7669,4</t>
  </si>
  <si>
    <t>298900,58/196822,43*7669,4</t>
  </si>
  <si>
    <t>УФК Судебные приставы (взыскание госпошлины с исковых заявлений по взысканию задолженности кв.56,68)</t>
  </si>
  <si>
    <t>ООО "Монтэкристе" (снятие показаний, тех.обслуживание общедомовых приборов учета)</t>
  </si>
  <si>
    <t>ремонт стен спусков в подвал</t>
  </si>
  <si>
    <t>автоуслуги в т.ч. вывоз мусора</t>
  </si>
  <si>
    <t>ООО "Домофон Сервис" (дверь металлическая п.3)</t>
  </si>
  <si>
    <t>ООО "Домофон Сервис" (электронная система для домофона п.3)</t>
  </si>
  <si>
    <t>Адрес: ул.Красноказачья 21/2</t>
  </si>
  <si>
    <t>ул.Красноказачья 21/2</t>
  </si>
  <si>
    <t>401410,25/185335,63*2590,9</t>
  </si>
  <si>
    <t>435991,01/185335,63*2590,9</t>
  </si>
  <si>
    <t>1082167,74/226605,83*2590,9</t>
  </si>
  <si>
    <t>845684,35/242356,05*2924</t>
  </si>
  <si>
    <t>642562,44/242356,05*2924</t>
  </si>
  <si>
    <t>51615/196822,43*2924</t>
  </si>
  <si>
    <t>129011,28/196822,43*2924</t>
  </si>
  <si>
    <t>164128/196822,43*2924</t>
  </si>
  <si>
    <t>298900,58/196822,43*2924</t>
  </si>
  <si>
    <t>ООО "МС Компания" (замки для почтовых ящиков)</t>
  </si>
  <si>
    <t>Отчетный период с 01.01.12г. По 31.12.11г.</t>
  </si>
  <si>
    <t>401410,25/185335,63*5042,7</t>
  </si>
  <si>
    <t>435991,01/185335,63*5042,7</t>
  </si>
  <si>
    <t>1082167,74/226605,83*5042,7</t>
  </si>
  <si>
    <t>845684,35/242356,05*5158,8</t>
  </si>
  <si>
    <t>642562,44/242356,05*5158,8</t>
  </si>
  <si>
    <t>51615/196822,43*5158,8</t>
  </si>
  <si>
    <t>129011,28/196822,43*5158,8</t>
  </si>
  <si>
    <t>164128/196822,43*5158,8</t>
  </si>
  <si>
    <t>298900,58/196822,43*5158,8</t>
  </si>
  <si>
    <t>Дополнительные услуги ( установка прибора учета ХВС)</t>
  </si>
  <si>
    <t>устранение аврии на теплосетях</t>
  </si>
  <si>
    <t>обслуж. домофона кв.41,43,44,46,47,49,50,51,52,54,55,56,57,59</t>
  </si>
  <si>
    <t>ООО "МС Компания" (почтовые ящики п.5)</t>
  </si>
  <si>
    <t>электромонтажные работы п.5</t>
  </si>
  <si>
    <t>прочистка вент.каналов кв.63</t>
  </si>
  <si>
    <t>Подрядная организация ИП Клюшницын В.А. в т.ч. ремонт подъезда №5</t>
  </si>
  <si>
    <t>Подрядная организация ООО "Быт Сервис"(электрики) в т.ч. обслуживание домофона п.3</t>
  </si>
  <si>
    <t>401410,25/185335,63*3544,9</t>
  </si>
  <si>
    <t>435991,01/185335,63*3544,9</t>
  </si>
  <si>
    <t>1082167,74/226605,83*3544,9</t>
  </si>
  <si>
    <t>845684,35/242356,05*3544,9</t>
  </si>
  <si>
    <t>642562,44/242356,05*3544,9</t>
  </si>
  <si>
    <t>51615/196822,43*3544,9</t>
  </si>
  <si>
    <t>129011,28/196822,43*3544,9</t>
  </si>
  <si>
    <t>164128/196822,43*3544,9</t>
  </si>
  <si>
    <t>298900,58/196822,43*3544,9</t>
  </si>
  <si>
    <t>Оплата за вынужденный слив воды с системы отопления кв.18</t>
  </si>
  <si>
    <t>ремонт водосточных труб с автовышки</t>
  </si>
  <si>
    <t>слив и наполнение системы отопления</t>
  </si>
  <si>
    <t>УФК Судебные приставы по Куйбышевскому району (госпошнина с исковых заявлений по взысканию задолженности кв.4)</t>
  </si>
  <si>
    <t>замена стояка канализации кв.22,23,26,27,30,31,34,35,38,39</t>
  </si>
  <si>
    <t>замена стояка канализации кв.42,43,46,47,50,51,54,55,58,59</t>
  </si>
  <si>
    <t>замена участка канализации в подвале п.2</t>
  </si>
  <si>
    <t xml:space="preserve">очистка чердака и подвала </t>
  </si>
  <si>
    <t>замена стояка ХВС кв.62,63,66,67,70,71,74,75,78,79</t>
  </si>
  <si>
    <t>замена стояков ХВС,канализации кв.21,25,29,33,37</t>
  </si>
  <si>
    <t>Подрядная организация ИП Клюшницын В.А. в т.ч. частичная замена стояков ХВС, канализации</t>
  </si>
  <si>
    <t>ул.Советская 113</t>
  </si>
  <si>
    <t>401410,25/185335,63*2444,5</t>
  </si>
  <si>
    <t>435991,01/185335,63*2444,5</t>
  </si>
  <si>
    <t>1082167,74/226605,83*2444,5</t>
  </si>
  <si>
    <t>845684,35/242356,05*2516,5</t>
  </si>
  <si>
    <t>642562,44/242356,05*2516,5</t>
  </si>
  <si>
    <t>51615/196822,43*2516,5</t>
  </si>
  <si>
    <t>129011,28/196822,43*2516,5</t>
  </si>
  <si>
    <t>164128/196822,43*2516,5</t>
  </si>
  <si>
    <t>298900,58/196822,43*2516,5</t>
  </si>
  <si>
    <t>401410,25/185335,63*2611,2</t>
  </si>
  <si>
    <t>435991,01/185335,63*2611,2</t>
  </si>
  <si>
    <t>1082167,74/226605,83*2611,2</t>
  </si>
  <si>
    <t>845684,35/242356,05*2611,2</t>
  </si>
  <si>
    <t>642562,44/242356,05*2611,2</t>
  </si>
  <si>
    <t>51615/196822,43*2611,2</t>
  </si>
  <si>
    <t>129011,28/196822,43*2611,2</t>
  </si>
  <si>
    <t>164128/196822,43*2611,2</t>
  </si>
  <si>
    <t>298900,58/196822,43*2611,2</t>
  </si>
  <si>
    <t>ФКУ ИК3 ГУСФСИН (изготовление и монтаж дверей п.1,3)</t>
  </si>
  <si>
    <t>Адрес: ул. Советская 127б</t>
  </si>
  <si>
    <t>401410,25/185335,63*2949,4</t>
  </si>
  <si>
    <t>435991,01/185335,63*2949,4</t>
  </si>
  <si>
    <t>1082167,74/226605,83*2949,4</t>
  </si>
  <si>
    <t>845684,35/242356,05*2949,4</t>
  </si>
  <si>
    <t>642562,44/242356,05*2949,4</t>
  </si>
  <si>
    <t>51615/196822,43*2949,4</t>
  </si>
  <si>
    <t>129011,28/196822,43*2949,4</t>
  </si>
  <si>
    <t>164128/196822,43*2949,4</t>
  </si>
  <si>
    <t>298900,58/196822,43*2949,4</t>
  </si>
  <si>
    <t>Возврат госпошлины кв.55</t>
  </si>
  <si>
    <t>прочистка вентиляции кв.28</t>
  </si>
  <si>
    <t>УФК Судебные приставы по Куйбышевскому району (госпошнина с исковых заявлений по взысканию задолженности кв.19,55,33)</t>
  </si>
  <si>
    <t>ОАО "Дезирс"(обработка подвалов от тараканов)</t>
  </si>
  <si>
    <t>замена стояков ХВС,ГВС кв.4,8,12</t>
  </si>
  <si>
    <t>пр.Угольный 78</t>
  </si>
  <si>
    <t>401410,25/185335,63*1009,1</t>
  </si>
  <si>
    <t>435991,01/185335,63*1009,1</t>
  </si>
  <si>
    <t>1082167,74/226605,83*1009,1</t>
  </si>
  <si>
    <t>845684,35/242356,05*1009,1</t>
  </si>
  <si>
    <t>642562,44/242356,05*1009,1</t>
  </si>
  <si>
    <t>51615/196822,43*1009,1</t>
  </si>
  <si>
    <t>129011,28/196822,43*1009,1</t>
  </si>
  <si>
    <t>164128/196822,43*1009,1</t>
  </si>
  <si>
    <t>298900,58/196822,43*1009,1</t>
  </si>
  <si>
    <t>Итого</t>
  </si>
  <si>
    <t>Сборы за размещение рекламы</t>
  </si>
  <si>
    <t>Услуги банка 2%</t>
  </si>
  <si>
    <t>Аренда подвала ИП "Саввин"</t>
  </si>
  <si>
    <t>Уборка подъездов</t>
  </si>
  <si>
    <t>ремонт подъезда №3</t>
  </si>
  <si>
    <t xml:space="preserve">                         Доходы</t>
  </si>
  <si>
    <t>ДОХОДЫ</t>
  </si>
  <si>
    <t>Ремонт общего имущества дома</t>
  </si>
  <si>
    <t>Подрядная организация ИП Селяндина Т.Н., в т.ч. ремонт подъезда №3</t>
  </si>
  <si>
    <t>Отчетный период с 01.02.10г. По 31.01.11г.</t>
  </si>
  <si>
    <t>План ремонта на 2013 г.</t>
  </si>
  <si>
    <t>Подрядная организация ООО "Быт Сервис" (электрики)</t>
  </si>
  <si>
    <t>1. Ремонт подъезда №4 с заменой входной двери.</t>
  </si>
  <si>
    <t>2. Установка ТРЖ</t>
  </si>
  <si>
    <t>3. Установка окон и откосов из ПВХ во всех подъездах.</t>
  </si>
  <si>
    <t>4. Прочистка и востановление вентиляционных каналов , согласно акта от контролирующей организации.</t>
  </si>
  <si>
    <t>Адрес: ул. Советская 127</t>
  </si>
  <si>
    <t>Подрядная организация ИП Силина В.Н., в т.ч. ремонт цоколя, ремонт кровли п.1,3</t>
  </si>
  <si>
    <t>Дополнительные услуги (установка водомера)</t>
  </si>
  <si>
    <t>Освещение л/клеток (ООО "Иркутскэнергосбыт")</t>
  </si>
  <si>
    <t>Адрес: ул. Д.Событий 103г</t>
  </si>
  <si>
    <t>Уборка подъезда №1</t>
  </si>
  <si>
    <t xml:space="preserve">Дополнительная услуга </t>
  </si>
  <si>
    <t>Бухгалтерия по расчету коммунальных услуг</t>
  </si>
  <si>
    <t xml:space="preserve">Площадь нежилых помещений: </t>
  </si>
  <si>
    <t>услуги связи</t>
  </si>
  <si>
    <t>консультативные, информационные услуги</t>
  </si>
  <si>
    <t>Возмещение затрат на электроэнергию (ИП Силина В.Н.)</t>
  </si>
  <si>
    <t>МУП "Спецавтохозяйство" (вывоз мусора)</t>
  </si>
  <si>
    <t>Отчетный период с 01.10.07г. По 30.09.08г.</t>
  </si>
  <si>
    <t>Отчетный период с 01.10.08г. По 30.09.09г.</t>
  </si>
  <si>
    <t>1. Ремонт подъезда №1</t>
  </si>
  <si>
    <t>2. Установка водомера 2шт.</t>
  </si>
  <si>
    <t>3. Установка ТРЖ 2шт.</t>
  </si>
  <si>
    <t>4. Устройство гидрозатвора ввода теплоситей под. 2.</t>
  </si>
  <si>
    <t>5. Смена электропроводки и освещения в подвалах.</t>
  </si>
  <si>
    <t>План работ на 2013 г.</t>
  </si>
  <si>
    <t>401410,25/185335,63*3693,9</t>
  </si>
  <si>
    <t>435991,01/185335,63*3693,9</t>
  </si>
  <si>
    <t>1082167,74/226605,83*3693,9</t>
  </si>
  <si>
    <t>845684,35/242356,05*3790,6</t>
  </si>
  <si>
    <t>51615/196822,43*3790,6</t>
  </si>
  <si>
    <t>129011,28/196822,43*3790,6</t>
  </si>
  <si>
    <t>164128/196822,43*3790,6</t>
  </si>
  <si>
    <t>298900,58/196822,43*3790,6</t>
  </si>
  <si>
    <t>642562,44/242356,05*3790,6</t>
  </si>
  <si>
    <t>содержание обслуживающего персонала (уборка офиса, автоуслуги)</t>
  </si>
  <si>
    <t>изготовление дверок на эл.щитки п.3</t>
  </si>
  <si>
    <t>ООО "Промстрой-38" (изготовление и установка металлической двери в подвальное помещение)</t>
  </si>
  <si>
    <t>ремонт ВРУ-04</t>
  </si>
  <si>
    <t>использование автовышки</t>
  </si>
  <si>
    <t>Адрес: ул. Декабрьских Событий, д. 107а</t>
  </si>
  <si>
    <t>ул.Д.Событий 107а</t>
  </si>
  <si>
    <t>401410,25/185335,63*3577,1</t>
  </si>
  <si>
    <t>435991,01/185335,63*3577,1</t>
  </si>
  <si>
    <t>1082167,74/226605,83*3577,1</t>
  </si>
  <si>
    <t>845684,35/242356,05*4617,7</t>
  </si>
  <si>
    <t>642562,44/242356,05*4617,7</t>
  </si>
  <si>
    <t>51615/196822,43*4617,7</t>
  </si>
  <si>
    <t>129011,28/196822,43*4617,7</t>
  </si>
  <si>
    <t>164128/196822,43*4617,7</t>
  </si>
  <si>
    <t>298900,58/196822,43*4617,7</t>
  </si>
  <si>
    <t>прочистка вент.каналов кв.11,13</t>
  </si>
  <si>
    <t>вывоз мусора веток</t>
  </si>
  <si>
    <t>Адрес: ул. Советская 111</t>
  </si>
  <si>
    <t>Адрес: ул. Советская 73</t>
  </si>
  <si>
    <t>401410,25/185335,63*1500,7</t>
  </si>
  <si>
    <t>435991,01/185335,63*1500,7</t>
  </si>
  <si>
    <t>1082167,74/226605,83*1500,7</t>
  </si>
  <si>
    <t>845684,35/242356,05*1500,7</t>
  </si>
  <si>
    <t>642562,44/242356,05*1500,7</t>
  </si>
  <si>
    <t>51615/196822,43*1500,7</t>
  </si>
  <si>
    <t>129011,28/196822,43*1500,7</t>
  </si>
  <si>
    <t>164128/196822,43*1500,7</t>
  </si>
  <si>
    <t>298900,58/196822,43*1500,7</t>
  </si>
  <si>
    <t>ООО "Монтэкристе" (установка приборов учета ТЭ)</t>
  </si>
  <si>
    <t>УФК Судебные приставы по Куйбышевскому району (госпошнина с исковых заявлений по взысканию задолженности кв.33)</t>
  </si>
  <si>
    <t>ООО "ИГТСК" выдача тех.условий, проверка проекта ТП)</t>
  </si>
  <si>
    <t>Подрядная организация ИП Силина В.Н., в т.ч. ремонт подъезда №3</t>
  </si>
  <si>
    <t>401410,25/185335,63*2386,8</t>
  </si>
  <si>
    <t>435991,01/185335,63*2386,8</t>
  </si>
  <si>
    <t>1082167,74/226605,83*2386,8</t>
  </si>
  <si>
    <t>845684,35/242356,05*2491,5</t>
  </si>
  <si>
    <t>642562,44/242356,05*2491,5</t>
  </si>
  <si>
    <t>51615/196822,43*2491,5</t>
  </si>
  <si>
    <t>129011,28/196822,43*2491,5</t>
  </si>
  <si>
    <t>164128/196822,43*2491,5</t>
  </si>
  <si>
    <t>298900,58/196822,43*2491,5</t>
  </si>
  <si>
    <t>ООО "ИГТСК" (выдача тех.условий, проверка проекта ТП)</t>
  </si>
  <si>
    <t>ул.Советская 65</t>
  </si>
  <si>
    <t>ул.Советская 67</t>
  </si>
  <si>
    <t>401410,25/185335,63*2456,5</t>
  </si>
  <si>
    <t>435991,01/185335,63*2456,5</t>
  </si>
  <si>
    <t>1082167,74/226605,83*2456,5</t>
  </si>
  <si>
    <t>845684,35/242356,05*2527,1</t>
  </si>
  <si>
    <t>642562,44/242356,05*2527,1</t>
  </si>
  <si>
    <t>Отчетный период с 01.01.12г. по 31.12.12г.</t>
  </si>
  <si>
    <t>ООО "СК Электросвязь" (подключение с системе АСКУТЭ, билинговое сопровождение)</t>
  </si>
  <si>
    <t>ул.Советская 71</t>
  </si>
  <si>
    <t>401410,25/185335,63*2452,4</t>
  </si>
  <si>
    <t>51615/196822,43*2323,4</t>
  </si>
  <si>
    <t>129011,28/196822,43*2323,4</t>
  </si>
  <si>
    <t>164128/196822,43*2323,4</t>
  </si>
  <si>
    <t>298900,58/196822,43*2323,4</t>
  </si>
  <si>
    <t>Возврат госпошлины с искового заявления кв.55</t>
  </si>
  <si>
    <t>УФК Судебные приставы по куйбышевскому району (госпошнина с исковых заявлений по взысканию задолженности кв.20,55)</t>
  </si>
  <si>
    <t>ул.Ф.Энгельса 5</t>
  </si>
  <si>
    <t>401410,25/185335,63*1873,6</t>
  </si>
  <si>
    <t>435991,01/185335,63*1873,6</t>
  </si>
  <si>
    <t>1082167,74/226605,83*1873,6</t>
  </si>
  <si>
    <t>845684,35/242356,05*2074,4</t>
  </si>
  <si>
    <t>622234,26/242356,05*2074,4</t>
  </si>
  <si>
    <t>51615/196822,43*2074,4</t>
  </si>
  <si>
    <t>129011,28/196822,43*2074,4</t>
  </si>
  <si>
    <t>164128/196822,43*2074,4</t>
  </si>
  <si>
    <t>298900,58/196822,43*2074,4</t>
  </si>
  <si>
    <t>ООО "Монтэкристе" (установка прибора учета ТЭ)</t>
  </si>
  <si>
    <t>845684,35/242356,05*2794,1</t>
  </si>
  <si>
    <t>642562,44/242356,05*2794,1</t>
  </si>
  <si>
    <t>51615/196822,43*2794,1</t>
  </si>
  <si>
    <t>129011,28/196822,43*2794,1</t>
  </si>
  <si>
    <t>164128/196822,43*2794,1</t>
  </si>
  <si>
    <t>298900,58/196822,43*2794,1</t>
  </si>
  <si>
    <t>ООО "Промстрой-38" (изготовление и монтаж козырька вентиляционной шахты)</t>
  </si>
  <si>
    <t>вывоз мусора, веток</t>
  </si>
  <si>
    <t>401410,25/185335,63*4398,5</t>
  </si>
  <si>
    <t>435991,01/185335,63*4398,5</t>
  </si>
  <si>
    <t>1082167,74/226605,83*4398,5</t>
  </si>
  <si>
    <t>845684,35/242356,05*4398,5</t>
  </si>
  <si>
    <t>642562,44/242356,05*4398,5</t>
  </si>
  <si>
    <t>51615/196822,43*4398,5</t>
  </si>
  <si>
    <t>129011,28/196822,43*4398,5</t>
  </si>
  <si>
    <t>164128/196822,43*4398,5</t>
  </si>
  <si>
    <t>298900,58/196822,43*4398,5</t>
  </si>
  <si>
    <t>Дополнительные услуги (почтовые ящики п.5)</t>
  </si>
  <si>
    <t>очистка подвалов и чердака</t>
  </si>
  <si>
    <t>ООО "Монтэкристе" (снятие показаний с общедомовых приборов учета, тех.обслуживание ИТП)</t>
  </si>
  <si>
    <t>ООО "МСК Компания" (почтовые ящики п.5)</t>
  </si>
  <si>
    <t>Подрядная организация ИП Селяндина Т.Н., в т.ч. ремонт подъезда №5</t>
  </si>
  <si>
    <t>ул.Поленова 14</t>
  </si>
  <si>
    <t>Дополнительные услуги (установка прибора учета ХВС)</t>
  </si>
  <si>
    <t>освещение помещения водомерного узла</t>
  </si>
  <si>
    <t>ремонт крылец п.1,2</t>
  </si>
  <si>
    <t>Подрядная организация ИП Селяндина Т.Н., в т.ч. ремонт подъездов №3,5</t>
  </si>
  <si>
    <t>Подрядная организация ООО "Быт Сервис"(электрики), в т.ч. ремонт освещения подъездов №3,5</t>
  </si>
  <si>
    <t>ул.Поленова 16</t>
  </si>
  <si>
    <t>401410,25/185335,63*2685,1</t>
  </si>
  <si>
    <t>435991,01/185335,63*2685,1</t>
  </si>
  <si>
    <t>1082167,74/226605,83*2685,1</t>
  </si>
  <si>
    <t>845684,35/242356,05*2685,1</t>
  </si>
  <si>
    <t>642562,44/242356,05*2685,1</t>
  </si>
  <si>
    <t>51615/196822,43*2685,1</t>
  </si>
  <si>
    <t>129011,28/196822,43*2685,1</t>
  </si>
  <si>
    <t>164128/196822,43*2685,1</t>
  </si>
  <si>
    <t>298900,58/196822,43*2685,1</t>
  </si>
  <si>
    <t>частичная замена розлива отопления п.3,4</t>
  </si>
  <si>
    <t>Адрес: ул. Аэрофлотская 3</t>
  </si>
  <si>
    <t>2.1</t>
  </si>
  <si>
    <t>Адрес: ул. Лызина 18</t>
  </si>
  <si>
    <t>Подрядная организация ИП Клюшницын В.А.</t>
  </si>
  <si>
    <t xml:space="preserve">Приложение к отчету </t>
  </si>
  <si>
    <t>Санитарное состояние подъездов (п.3)</t>
  </si>
  <si>
    <t>Сборы за использование общего имущества дома</t>
  </si>
  <si>
    <t>Текущая задолженность собственников по оплате перед ООО "Приоритет"</t>
  </si>
  <si>
    <t>Текущая задолженность собственников по оплате за все коммунальные услуги</t>
  </si>
  <si>
    <t>Отчетный период с 01.11.10г. По 31.12.11г.</t>
  </si>
  <si>
    <t>Адрес: ул. Советская 85</t>
  </si>
  <si>
    <t>Подрядная организация ИП Клюшницын В.А.- всего</t>
  </si>
  <si>
    <t>Коммунальные услуги за нежелые помещения</t>
  </si>
  <si>
    <t>Санитарное состояние (п.3)</t>
  </si>
  <si>
    <t>Адрес: ул. Советская 71</t>
  </si>
  <si>
    <t>Отчетный период с 01.08.09г. по 31.07.10г.</t>
  </si>
  <si>
    <t>Отчетный период с 01.08.08г. по 31.07.09г.</t>
  </si>
  <si>
    <t>____________ С.Ю.Ткаченко</t>
  </si>
  <si>
    <t>Отчетный период с 01.07.08г. По 30.06.09г.</t>
  </si>
  <si>
    <t>Доход от нежилых помещений</t>
  </si>
  <si>
    <t>Отчетный период с 01.05.06г. по 30.04.07г.</t>
  </si>
  <si>
    <t>Отчетный период с 01.05.07г. по 30.04.08г.</t>
  </si>
  <si>
    <t>арендная плата за помещение,содержание офиса</t>
  </si>
  <si>
    <t>канцтовары,системное обслуживание</t>
  </si>
  <si>
    <t>Адрес: ул. Лызина 50</t>
  </si>
  <si>
    <t>Домовые приборы учета</t>
  </si>
  <si>
    <t>Долг на 01.01.2012г.</t>
  </si>
  <si>
    <t>Услуги паспортного стола</t>
  </si>
  <si>
    <t>Отчетный период с 01.05.11г. По 31.12.11г.</t>
  </si>
  <si>
    <t>ул.Д.Событий 103г</t>
  </si>
  <si>
    <t>Сборы за экспл.расходы,ком.услуги(нежилые помещения)</t>
  </si>
  <si>
    <t>Дополнительная услуга (почтовые ящики п.4)</t>
  </si>
  <si>
    <t>автоуслуги</t>
  </si>
  <si>
    <t>Адрес: ул. Советская 87</t>
  </si>
  <si>
    <t>Доходы за 12 месяцев</t>
  </si>
  <si>
    <t>Отчетный период с 01.06.11г. по 31.12.11г.</t>
  </si>
  <si>
    <t>Отчетный период с 01.06.11г. По 31.12.11г.</t>
  </si>
  <si>
    <t>Отчетный период с 01.07.11г. По 31.12.11г.</t>
  </si>
  <si>
    <t>Возмещение за коммунальные услуги по подвальному помещению</t>
  </si>
  <si>
    <t>вывоз мусора</t>
  </si>
  <si>
    <t>расчетно кассовое обслуживание</t>
  </si>
  <si>
    <t>3. Ремонт тамбуров.</t>
  </si>
  <si>
    <t>2 .Ремонт цоколя дома.</t>
  </si>
  <si>
    <t>1. Установка новых тамбурных дверей.</t>
  </si>
  <si>
    <t>4. Озеленение газонов.</t>
  </si>
  <si>
    <t>План на 2013 г.</t>
  </si>
  <si>
    <t>Подрядная организация ИП Силина В.Н. всего</t>
  </si>
  <si>
    <t>401410,25/185335,63*1944,8</t>
  </si>
  <si>
    <t>435991,01/185335,63*1944,8</t>
  </si>
  <si>
    <t>1082167,74/226605,83*1944,8</t>
  </si>
  <si>
    <t>845684,35/242356,05*1944,8</t>
  </si>
  <si>
    <t>642562,44/242356,05*1944,8</t>
  </si>
  <si>
    <t>51615/196822,43*1944,8</t>
  </si>
  <si>
    <t>129011,28/196822,43*1944,8</t>
  </si>
  <si>
    <t>164128/196822,43*1944,8</t>
  </si>
  <si>
    <t>298900,58/196822,43*1944,8</t>
  </si>
  <si>
    <t>проверка вент.каналов</t>
  </si>
  <si>
    <t>401410,25/185335,63*2002,6</t>
  </si>
  <si>
    <t>435991,01/185335,63*2002,6</t>
  </si>
  <si>
    <t>1082167,74/226605,83*2002,6</t>
  </si>
  <si>
    <t>845684,35/242356,05*2002,6</t>
  </si>
  <si>
    <t>642562,44/242356,05*2002,6</t>
  </si>
  <si>
    <t>51615/196822,43*2002,6</t>
  </si>
  <si>
    <t>129011,28/196822,43*2002,6</t>
  </si>
  <si>
    <t>164128/196822,43*2006,6</t>
  </si>
  <si>
    <t>298900,58/196822,43*2002,6</t>
  </si>
  <si>
    <t>УФК Судебные приставы по Куйбышевскому району (госпошнина с исковых заявлений по взысканию задолженности кв.12)</t>
  </si>
  <si>
    <t>401410,25/185335,63*4270,2</t>
  </si>
  <si>
    <t>435991,01/185335,63*4270,2</t>
  </si>
  <si>
    <t>1082167,74/226605,83*4270,2</t>
  </si>
  <si>
    <t>845684,35/242356,05*4270,2</t>
  </si>
  <si>
    <t>642562,44/242356,05*4270,2</t>
  </si>
  <si>
    <t>51615/196822,43*4270,2</t>
  </si>
  <si>
    <t>129011,28/196822,43*4270,2</t>
  </si>
  <si>
    <t>164128/196822,43*4270,2</t>
  </si>
  <si>
    <t>298900,58/196822,43*4270,2</t>
  </si>
  <si>
    <t xml:space="preserve">Дополнительные услуги </t>
  </si>
  <si>
    <t>УФК Судебные приставы по Куйбышевскому району (госпошнина с исковых заявлений по взысканию задолженности кв.71)</t>
  </si>
  <si>
    <t>ЗАО "Дезирс" (обработка подвалов от блох)</t>
  </si>
  <si>
    <t>Адрес: ул. Лызина 20а</t>
  </si>
  <si>
    <t>ул.Лызина 20а</t>
  </si>
  <si>
    <t>401410,25/185335,63*6144</t>
  </si>
  <si>
    <t>435991,01/185335,63*6144</t>
  </si>
  <si>
    <t>1082167,74/226605,83*6144</t>
  </si>
  <si>
    <t>845684,35/242356,05*6592,2</t>
  </si>
  <si>
    <t>642562,44/242356,05*6592,2</t>
  </si>
  <si>
    <t>51615/196822,43*6592,2</t>
  </si>
  <si>
    <t>129011,28/196822,43*6592,2</t>
  </si>
  <si>
    <t>164128/196822,43*6592,2</t>
  </si>
  <si>
    <t>298900,58/196822,43*6592,2</t>
  </si>
  <si>
    <t>обслуживание домофона п.3,4</t>
  </si>
  <si>
    <t>ООО "МСК Компания" (ящик для показаний,брелки для ключей)</t>
  </si>
  <si>
    <t>ремонт канализации п.5</t>
  </si>
  <si>
    <t>ремонт отмостки, приямков</t>
  </si>
  <si>
    <t>услуги автовышки</t>
  </si>
  <si>
    <t>Подрядная организация ООО "Быт Сервис"(электрики), в т.ч. обслуживание домофона п.3,4</t>
  </si>
  <si>
    <t>Подрядная организация ИП Силина В.Н., в т.ч. ремонт подъезда №2, отмостки</t>
  </si>
  <si>
    <t>Остаток на 01.01.2013 г.</t>
  </si>
  <si>
    <t>Подрядная организация ИП Селяндина Т.Н., в т.ч. ремонт подъезда №4</t>
  </si>
  <si>
    <t>Металические ограждения п.1</t>
  </si>
  <si>
    <t>S=</t>
  </si>
  <si>
    <t>УТВЕРЖДАЮ</t>
  </si>
  <si>
    <t>Уборка л/клеток</t>
  </si>
  <si>
    <t>Адрес: ул. Декабрьских Событий, д. 107б</t>
  </si>
  <si>
    <t>401410,25/185335,63*5555,9</t>
  </si>
  <si>
    <t>435991,01/185335,63*5555,9</t>
  </si>
  <si>
    <t>1082167,74/226605,83*5555,9</t>
  </si>
  <si>
    <t>845684,35/242356,05*6326,7</t>
  </si>
  <si>
    <t>642562,44/242356,05*6326,7</t>
  </si>
  <si>
    <t>51615/196822,43*6326,7</t>
  </si>
  <si>
    <t>129011,28/196822,43*6326,7</t>
  </si>
  <si>
    <t>164128/196822,43*6326,7</t>
  </si>
  <si>
    <t>298900,58/196822,43*6326,7</t>
  </si>
  <si>
    <t>Дополнительные услуги ( в т. ч. установка водомера)</t>
  </si>
  <si>
    <t>изоляция розлива отопления, замена вентелей</t>
  </si>
  <si>
    <t>ул.Д.Событий 107б</t>
  </si>
  <si>
    <t>ремонт кровли п.6</t>
  </si>
  <si>
    <t>ремонт этажных щитков п.5</t>
  </si>
  <si>
    <t>Подрядная организация ООО "Быт Сервис"(электрики), в т.ч. ремонт этажных щитков п.5</t>
  </si>
  <si>
    <t>Подрядная организация ИП Силина В.Н., в т.ч. ремонт цоколя, приямков, подъезда №3</t>
  </si>
  <si>
    <t>401410,25/185335,63*1261,2</t>
  </si>
  <si>
    <t>435991,01/185335,63*1261,2</t>
  </si>
  <si>
    <t>1082167,74/226605,83*1261,2</t>
  </si>
  <si>
    <t>ООО "Монтэкристе" (установка прибора учета ХВС)</t>
  </si>
  <si>
    <t>Адрес: Д.Событий 119</t>
  </si>
  <si>
    <t>Адрес: Красноярская 22</t>
  </si>
  <si>
    <t>ул.Красноярская 22</t>
  </si>
  <si>
    <t>401410,25/185335,63*1251,2</t>
  </si>
  <si>
    <t>435991,01/185335,63*1251,2</t>
  </si>
  <si>
    <t>1082167,74/226605,83*1251,2</t>
  </si>
  <si>
    <t>845684,35/242356,05*1251,2</t>
  </si>
  <si>
    <t>642562,44/242356,05*1251,2</t>
  </si>
  <si>
    <t>51615/196822,43*1251,2</t>
  </si>
  <si>
    <t>129011,28/196822,43*1251,2</t>
  </si>
  <si>
    <t>164128/196822,43*1251,2</t>
  </si>
  <si>
    <t>298900,58/196822,43*1251,2</t>
  </si>
  <si>
    <t>Адрес: Култукская 32</t>
  </si>
  <si>
    <t>ул.Култукская 32</t>
  </si>
  <si>
    <t>401410,25/185335,63*4172,6</t>
  </si>
  <si>
    <t>435991,01/185335,63*4172,6</t>
  </si>
  <si>
    <t>1082167,74/226605,83*4172,6</t>
  </si>
  <si>
    <t>845684,35/242356,05*4172,6</t>
  </si>
  <si>
    <t>642562,44/242356,05*4172,6</t>
  </si>
  <si>
    <t>51615/196822,43*4172,6</t>
  </si>
  <si>
    <t>129011,28/196822,43*4172,6</t>
  </si>
  <si>
    <t>164128/196822,43*4172,6</t>
  </si>
  <si>
    <t>298900,58/196822,43*4172,6</t>
  </si>
  <si>
    <t>прочистка вент.каналов кв.22</t>
  </si>
  <si>
    <t>Подрядная организация ИП Силина В.Н. в т.ч. ремонт подъезда №4</t>
  </si>
  <si>
    <t>Подрядная организация ООО "Быт Сервис"(электрики), в т.ч. ремонт этажных щитков п.3,4</t>
  </si>
  <si>
    <t>ремонт этажных щитков п.4</t>
  </si>
  <si>
    <t>Отчетный период с 01.02.08г. По 31.01.09г.</t>
  </si>
  <si>
    <t>Отчетный период с 01.02.09г. По 31.01.10г.</t>
  </si>
  <si>
    <t>Использование общего имущества дома ЗАО "Байкал-Транстелеком"</t>
  </si>
  <si>
    <t>ул.Советская 63</t>
  </si>
  <si>
    <t>ОАО "Дезирс"(обработка подвалов от блох)</t>
  </si>
  <si>
    <t>435991,01/185335,63*2452,4</t>
  </si>
  <si>
    <t>1082167,74/226605,83*2452,4</t>
  </si>
  <si>
    <t>845684,35/242356,05*2527,5</t>
  </si>
  <si>
    <t>642562,44/242356,05*2527,5</t>
  </si>
  <si>
    <t>51615/196822,43*2527,5</t>
  </si>
  <si>
    <t>129011,28/196822,43*2527,5</t>
  </si>
  <si>
    <t>164128/196822,43*2527,5</t>
  </si>
  <si>
    <t>298900,58/196822,43*2527,5</t>
  </si>
  <si>
    <t>Дополнительные услуги (в т.ч. установка прибора учета ХВС)</t>
  </si>
  <si>
    <t>ул.Советская 73</t>
  </si>
  <si>
    <t>401410,25/185335,63*1489,9</t>
  </si>
  <si>
    <t>435991,01/185335,63*1489,9</t>
  </si>
  <si>
    <t>1082167,74/226605,83*1489,9</t>
  </si>
  <si>
    <t>изготовление дверок на эл.щитки п.1</t>
  </si>
  <si>
    <t>очистка чердака, подвалов</t>
  </si>
  <si>
    <t>ремонт освещения п.1</t>
  </si>
  <si>
    <t>ООО "Домофон Сервис" (изготовление и монтаж металлической двери п.1)</t>
  </si>
  <si>
    <t>ООО "МС Компания" (установка почтовых ящиков п.1)</t>
  </si>
  <si>
    <t>Подрядная организация ИП Силина В.Н., в т.ч. ремонт подъезда №1</t>
  </si>
  <si>
    <t>845684,35/242356,05*2323,4</t>
  </si>
  <si>
    <t>642562,44/242356,05*2323,4</t>
  </si>
  <si>
    <t>ремонт подъезда №5</t>
  </si>
  <si>
    <t>Оплата подрядным организациям</t>
  </si>
  <si>
    <r>
      <t xml:space="preserve"> </t>
    </r>
    <r>
      <rPr>
        <b/>
        <sz val="9"/>
        <rFont val="Arial Cyr"/>
        <family val="0"/>
      </rPr>
      <t>ЭКСПЛУАТАЦИОННЫЕ  РАСХОДЫ</t>
    </r>
  </si>
  <si>
    <t xml:space="preserve"> ПРОЧИЕ РАСХОДЫ</t>
  </si>
  <si>
    <t xml:space="preserve">Итого </t>
  </si>
  <si>
    <t>Адрес: ул. Бограда 4</t>
  </si>
  <si>
    <t>Расшифровка</t>
  </si>
  <si>
    <t>Отчетный период с 01.11.07г. По 31.10.08г.</t>
  </si>
  <si>
    <t>Отчетный период с 01.07.06г. По 30.06.07г.</t>
  </si>
  <si>
    <t>ул.Д.Событий 105а</t>
  </si>
  <si>
    <t>ул.Д.Событий 103д</t>
  </si>
  <si>
    <t>прочистка канализации</t>
  </si>
  <si>
    <t>Остаток на 01.01.2012г.</t>
  </si>
  <si>
    <t>Отчетный период с 01.01.11г. По 31.12.11г.</t>
  </si>
  <si>
    <t>Допольнительная услуга</t>
  </si>
  <si>
    <t>Получено от бюджета за установку приборов учета 28.12.06г.</t>
  </si>
  <si>
    <t>Отчетный период с 01.11.06г. По 31.10.07г.</t>
  </si>
  <si>
    <t>Адрес: ул. Советская 113</t>
  </si>
  <si>
    <t>Сборы за эксплуатационные расходы за н/жилые помещения</t>
  </si>
  <si>
    <t>401410,25/185335,63*1897,8</t>
  </si>
  <si>
    <t>435991,01/185335,63*1897,8</t>
  </si>
  <si>
    <t>1082167,74/226605,83*1897,8</t>
  </si>
  <si>
    <t>Субсидиии из бюджета г.Иркутск на установку прибора учета ТЭ)</t>
  </si>
  <si>
    <t>УФК Судебные приставы по куйбышевскому району (госпошнина с исковых заявлений по взысканию задолженности кв.7,24,46</t>
  </si>
  <si>
    <t>замена пластикого окна п.1</t>
  </si>
  <si>
    <t>ул.Советская 127</t>
  </si>
  <si>
    <t>845684,35/242356,05*1999,2</t>
  </si>
  <si>
    <t>642562,44/242356,05*1999,2</t>
  </si>
  <si>
    <t>51615/196822,43*1999,2</t>
  </si>
  <si>
    <t>129011,28/196822,43*1999,2</t>
  </si>
  <si>
    <t>164128/196822,43*1999,2</t>
  </si>
  <si>
    <t>298900,58/196822,43*1999,2</t>
  </si>
  <si>
    <t>401410,25/185335,63*2676,5</t>
  </si>
  <si>
    <t>435991,01/185335,63*2676,5</t>
  </si>
  <si>
    <t>1082167,74/226605,83*2676,5</t>
  </si>
  <si>
    <t>845684,35/242356,05*2755</t>
  </si>
  <si>
    <t>642562,44/242356,05*2755</t>
  </si>
  <si>
    <t>51615/196822,43*2755</t>
  </si>
  <si>
    <t>129011,28/196822,43*2755</t>
  </si>
  <si>
    <t>164128/196822,43*2755</t>
  </si>
  <si>
    <t>298900,58/196822,43*2755</t>
  </si>
  <si>
    <t>Допролнительная услуга (установка прибора учета ХВС)</t>
  </si>
  <si>
    <t>УФК Судебные приставы по куйбышевскому району (госпошнина с исковых заявлений по взысканию задолженности кв.18)</t>
  </si>
  <si>
    <t>ООО "Монтэкристе" (установка водомерного узла)</t>
  </si>
  <si>
    <t>Субсидиии из бюджета г.Иркутск на установку прибора учета ТЭ</t>
  </si>
  <si>
    <t>пр. Угольный 76</t>
  </si>
  <si>
    <t>Адрес: пр. Угольный 76</t>
  </si>
  <si>
    <t>401410,25/185335,63*2020,1</t>
  </si>
  <si>
    <t>435991,01/185335,63*2020,1</t>
  </si>
  <si>
    <t>1082167,74/226605,83*2020,1</t>
  </si>
  <si>
    <t>845684,35/242356,05*2020,1</t>
  </si>
  <si>
    <t>642562,44/242356,05*2020,1</t>
  </si>
  <si>
    <t>51615/196822,43*2020,1</t>
  </si>
  <si>
    <t>129011,28/196822,43*2020,1</t>
  </si>
  <si>
    <t>164128/196822,43*2020,1</t>
  </si>
  <si>
    <t>298900,58/196822,43*2020,1</t>
  </si>
  <si>
    <t>Субсидии из бюджета г Иркутск на установку прибора учета ТЭ</t>
  </si>
  <si>
    <t>УФК Судебные приставы по куйбышевскому району (госпошнина с исковых заявлений по взысканию задолженности кв.37)</t>
  </si>
  <si>
    <t>освещение подъзд №2</t>
  </si>
  <si>
    <t>Подрядная организация ООО "Быт Сервис"(электрики) в т.ч. ремонт освещения п.2</t>
  </si>
  <si>
    <t>401410,25/185335,63*4428</t>
  </si>
  <si>
    <t>435991,01/185335,63*4428</t>
  </si>
  <si>
    <t>1082167,74/226605,83*4428</t>
  </si>
  <si>
    <t>845684,35/242356,05*4428</t>
  </si>
  <si>
    <t>642562,44/242356,05*4428</t>
  </si>
  <si>
    <t>51615/196822,43*4428</t>
  </si>
  <si>
    <t>129011,28/196822,43*4428</t>
  </si>
  <si>
    <t>164128/196822,43*4428</t>
  </si>
  <si>
    <t>298900,58/196822,43*4428</t>
  </si>
  <si>
    <t>субсидии из бюджета г. Иркутск на установку приборов учета ТЭ</t>
  </si>
  <si>
    <t>УФК Судебные приставы по куйбышевскому району (госпошнина с исковых заявлений по взысканию задолженности кв.46)</t>
  </si>
  <si>
    <t>рытьё котлована под выпуск канализации</t>
  </si>
  <si>
    <t>Адрес: ул. Советская 79</t>
  </si>
  <si>
    <t>Субсидии из бюджета г. Иркутск на установку приборов учета ТЭ</t>
  </si>
  <si>
    <t>401410,25/185335,63*2332,2</t>
  </si>
  <si>
    <t>435991,01/185335,63*2332,2</t>
  </si>
  <si>
    <t>1082167,74/226605,83*2332,2</t>
  </si>
  <si>
    <t>845684,35/242356,05*2433,7</t>
  </si>
  <si>
    <t>642562,44/242356,05*2433,7</t>
  </si>
  <si>
    <t>51615/196822,43*2433,7</t>
  </si>
  <si>
    <t>129011,28/196822,43*2433,7</t>
  </si>
  <si>
    <t>164128/196822,43*2433,7</t>
  </si>
  <si>
    <t>298900,58/196822,43*2433,7</t>
  </si>
  <si>
    <t>ЗАО "Байкал-ТрансТелеКом" (использование общего имущества дома)</t>
  </si>
  <si>
    <t>Отчетный период с 01.08.10г. по 31.07.11г.</t>
  </si>
  <si>
    <t>Коммунальные услуги(кв.8,44,75,90)</t>
  </si>
  <si>
    <t>Отчетный период с 01.05.010г. по 30.04.11г.</t>
  </si>
  <si>
    <t>Эксплуатационные расходы</t>
  </si>
  <si>
    <t>Прочие расходы</t>
  </si>
  <si>
    <t>Адрес: ул. Поленова 21</t>
  </si>
  <si>
    <t>Оплата за почтовые ящики п.1</t>
  </si>
  <si>
    <t>Отчетный период с 01.11.08г. По 31.10.09г.</t>
  </si>
  <si>
    <t>Адрес: ул. Советская 63</t>
  </si>
  <si>
    <t>ремонт этажных щитков п.3</t>
  </si>
  <si>
    <t>электромонтажные работы п.4</t>
  </si>
  <si>
    <t>Отчетный период с 01.07.10г. По 30.06.11г.</t>
  </si>
  <si>
    <t>ул.Аэрофлотская 1</t>
  </si>
  <si>
    <t>ООО "ИГТСК"(проверка проекта,выдача тех.условий на узел учета тепловой энергии)</t>
  </si>
  <si>
    <t>Использование общего имущества дома</t>
  </si>
  <si>
    <t>Адрес: ул. Поленова 14</t>
  </si>
  <si>
    <t>ул.Советская 111</t>
  </si>
  <si>
    <t>401410,25/185335,63*1189,4</t>
  </si>
  <si>
    <t>435991,01/185335,63*1189,4</t>
  </si>
  <si>
    <t>1082167,74/226605,83*1189,4</t>
  </si>
  <si>
    <t>845684,35/242356,05*1261,2</t>
  </si>
  <si>
    <t>642562,44/242356,05*1261,2</t>
  </si>
  <si>
    <t>51615/196822,43*1261,2</t>
  </si>
  <si>
    <t>129011,28/196822,43*1261,2</t>
  </si>
  <si>
    <t>164128/196822,43*1261,2</t>
  </si>
  <si>
    <t>298900,58/196822,43*1261,2</t>
  </si>
  <si>
    <t>Дополнительные услуги (в т.ч. установка прибора учета ТЭ)</t>
  </si>
  <si>
    <t>УФК Судебные приставы по куйбышевскому району (госпошнина с исковых заявлений по взысканию задолженности кв.29</t>
  </si>
  <si>
    <t>ООО "СК Электросвязь" (домофон тех.соправождение СКУД)</t>
  </si>
  <si>
    <t>замена выпуска канализации</t>
  </si>
  <si>
    <t>ООО "РСФ Беста" (тех.обследование вен.шахт в домах с газовым оборудованием)</t>
  </si>
  <si>
    <t>401410,25/185335,63*2485,4</t>
  </si>
  <si>
    <t>435991,01/185335,63*2485,4</t>
  </si>
  <si>
    <t>1082167,74/226605,83*2485,4</t>
  </si>
  <si>
    <t>845684,35/242356,05*2485,4</t>
  </si>
  <si>
    <t>642562,44/242356,05*2485,4</t>
  </si>
  <si>
    <t>51615/196822,43*2485,4</t>
  </si>
  <si>
    <t>129011,28/196822,43*2485,4</t>
  </si>
  <si>
    <t>164128/196822,43*2485,4</t>
  </si>
  <si>
    <t>298900,58/196822,43*2485,4</t>
  </si>
  <si>
    <t>Дополнительные услуги (в т.ч. установка прибора ХВС)</t>
  </si>
  <si>
    <t>Субсидии из бюджета г.Иркутск на установку приборов учета ТЭ</t>
  </si>
  <si>
    <t>УФК Судебные приставы по куйбышевскому району (госпошнина с исковых заявлений по взысканию задолженности кв.33,40,14</t>
  </si>
  <si>
    <t>ООО "МС Компания" (замок на ящик для показаний индивидуальных приборов учета)</t>
  </si>
  <si>
    <t>ООО "Промстрой-38" (изготовление входной группы п.3)</t>
  </si>
  <si>
    <t>МУП БТИ (копия тех.паспорта)</t>
  </si>
  <si>
    <t>ОАО "Дезирс" (обработка подвалов от блох)</t>
  </si>
  <si>
    <t>ООО "Монтэкристе" (установка приборов учета ХВС)</t>
  </si>
  <si>
    <t>Подрядная организация ИП Клюшницын В.А.)</t>
  </si>
  <si>
    <t>Подрядная организация ООО "Быт Сервис"(электрики) в т.ч. ремонт щитовой</t>
  </si>
  <si>
    <t>401410,25/185335,63*1992,7</t>
  </si>
  <si>
    <t>ул.Советская 75</t>
  </si>
  <si>
    <t>435991,01/185335,63*1992,7</t>
  </si>
  <si>
    <t>1082167,74/226605,83*1992,7</t>
  </si>
  <si>
    <t>845684,35/242356,05*1992,7</t>
  </si>
  <si>
    <t>642562,44/242356,05*1992,7</t>
  </si>
  <si>
    <t>51615/196822,43*1992,7</t>
  </si>
  <si>
    <t>129011,28/196822,43*1992,7</t>
  </si>
  <si>
    <t>164128/196822,43*1992,7</t>
  </si>
  <si>
    <t>298900,58/196822,43*1992,7</t>
  </si>
  <si>
    <t>УФК Судебные приставы по куйбышевскому району (госпошнина с исковых заявлений по взысканию задолженности кв.8</t>
  </si>
  <si>
    <t>ООО "Макспласт" (изготовление и установка окон из ПВХ п.3)</t>
  </si>
  <si>
    <t>ООО "Монтэкристе" (монтаж гидроизоляции тепловой сети)</t>
  </si>
  <si>
    <t>Отчетный период с 01.05.09г. по 30.04.10г.</t>
  </si>
  <si>
    <t>Капитальный ремонт (установка приборов учета)</t>
  </si>
  <si>
    <t>Дополнительна услуга</t>
  </si>
  <si>
    <t>Отчетный период с 01.02.11г. По 31.12.11г.</t>
  </si>
  <si>
    <t>Диспетчерская служба</t>
  </si>
  <si>
    <t>Долг</t>
  </si>
  <si>
    <t>ул.Д.Событий 103</t>
  </si>
  <si>
    <t>401410,25/185335,63*3117,9</t>
  </si>
  <si>
    <t>435991,01/185335,63*3117,9</t>
  </si>
  <si>
    <t>1082167,74/226605,83*3117,9</t>
  </si>
  <si>
    <t>845684,35/242356,05*4085,7</t>
  </si>
  <si>
    <t>642562,44/242356,05*4085,7</t>
  </si>
  <si>
    <t>51615/196822,43*4085,7</t>
  </si>
  <si>
    <t>129011,28/196822,43*4085,7</t>
  </si>
  <si>
    <t>164128/196822,43*4085,7</t>
  </si>
  <si>
    <t>298900,58/196822,43*4085,7</t>
  </si>
  <si>
    <t>УФК Судебные приставы Куйбышевский район (госпошнина с исковых заявлений на взыскание задолженности кв.2,70,72,80)</t>
  </si>
  <si>
    <t>МУП ПУ ВКХ (отключение и включение водопровода для проведения ремонта)</t>
  </si>
  <si>
    <t>ООО "Монтэкристе" (снятие показаний с общедомовых приборов учета)</t>
  </si>
  <si>
    <t>Иркоблгаз (тех.обслуживание газового оборудования)</t>
  </si>
  <si>
    <t>Адрес: ул. Д.Событий 103б</t>
  </si>
  <si>
    <t>401410,25/185335,63*3466,7</t>
  </si>
  <si>
    <t>435991,01/185335,63*3466,7</t>
  </si>
  <si>
    <t>1082167,74/226605,83*3466,7</t>
  </si>
  <si>
    <t>845684,35/242356,05*3466,7</t>
  </si>
  <si>
    <t>642562,44/242356,05*3466,7</t>
  </si>
  <si>
    <t>51615/196822,43*3466,7</t>
  </si>
  <si>
    <t>129011,28/196822,43*3466,7</t>
  </si>
  <si>
    <t>164128/196822,43*3466,7</t>
  </si>
  <si>
    <t>298900,58/196822,43*3466,7</t>
  </si>
  <si>
    <t>ООО СМП-Иркутск (капитальный ремонт)</t>
  </si>
  <si>
    <t>ИП Якубов (изготовление и монтаж сейсмокомпенсаторов с утеплением шва)</t>
  </si>
  <si>
    <t>ИП Якубов (монтаж водосточных труб)</t>
  </si>
  <si>
    <t>ООО "Промстрой-38"(установка двери металлической п.6)</t>
  </si>
  <si>
    <t>очистка чердака и подвалов</t>
  </si>
  <si>
    <t>ООО "РСФ Беста"(тех.обслуживание вент.шахт )</t>
  </si>
  <si>
    <t>прочистка вент.каналов кв.36,91</t>
  </si>
  <si>
    <t>Подрядная организация ИП Селяндина Т.Н. в т.ч. ремонт подъезда №6</t>
  </si>
  <si>
    <t>вывоз веток</t>
  </si>
  <si>
    <t>ООО "Промстрой-38"(изготовление входной группы п.3)</t>
  </si>
  <si>
    <t>очистка чердака и приямков</t>
  </si>
  <si>
    <t>прочистка вент.каналов кв. 1</t>
  </si>
  <si>
    <t>ремонт козырьков над входом в подъезды</t>
  </si>
  <si>
    <t>Подрядная организация ИП Селяндина Т.Н. в т.ч. подъезда №3</t>
  </si>
  <si>
    <t>установка отсечных задвижек на системе отопления</t>
  </si>
  <si>
    <t>электромонтажные работы п.3</t>
  </si>
  <si>
    <t>401410,25/185335,63*1952,5</t>
  </si>
  <si>
    <t>435991,01/185335,63*1952,5</t>
  </si>
  <si>
    <t>1082167,74/226605,83*1952,5</t>
  </si>
  <si>
    <t>845684,35/242356,05*2008,7</t>
  </si>
  <si>
    <t>642562,44/242356,05*2008,7</t>
  </si>
  <si>
    <t>51615/196822,43*2008,7</t>
  </si>
  <si>
    <t>129011,28/196822,43*2008,7</t>
  </si>
  <si>
    <t>164128/196822,43*2008,7</t>
  </si>
  <si>
    <t>298900,58/196822,43*2008,7</t>
  </si>
  <si>
    <t>401410,25/185335,63*1304</t>
  </si>
  <si>
    <t>435991,01/185335,63*1304</t>
  </si>
  <si>
    <t>1082167,74/226605,83*1304</t>
  </si>
  <si>
    <t>845684,35/242356,05*1483,1</t>
  </si>
  <si>
    <t>642562,44/242356,05*1483,1</t>
  </si>
  <si>
    <t>51615/196822,43*1483,1</t>
  </si>
  <si>
    <t>129011,28/196822,43*1483,1</t>
  </si>
  <si>
    <t>164128/196822,43*1483,1</t>
  </si>
  <si>
    <t>298900,58/196822,43*1483,1</t>
  </si>
  <si>
    <t>замена розлива отопления п.3</t>
  </si>
  <si>
    <t>ООО "РСФ Беста"(тех.обслуживание вент.шахт)</t>
  </si>
  <si>
    <t>ООО "Монтэкристе" (установка водомерных узлов)</t>
  </si>
  <si>
    <t xml:space="preserve">Подрядная организация ИП Селяндина Т.Н., в т.ч. частичная замена розлива отопления </t>
  </si>
  <si>
    <t>Адрес: ул. Д.Событий 105б</t>
  </si>
  <si>
    <t>ул.Д.Событий 105б</t>
  </si>
  <si>
    <t>401410,25/185335,63*4281,5</t>
  </si>
  <si>
    <t>435991,01/185335,63*4281,5</t>
  </si>
  <si>
    <t>1082167,74/226605,83*4281,5</t>
  </si>
  <si>
    <t>замена кабеля п.4</t>
  </si>
  <si>
    <t>ООО "Промстрой-38"(изготовление входной группы на чердачное помещение п.1)</t>
  </si>
  <si>
    <t>прочистка вент.каналов кв.52</t>
  </si>
  <si>
    <t>ремонт цоколя, приямков</t>
  </si>
  <si>
    <t>Возмещение коммунальных услуг (подвал п.3)</t>
  </si>
  <si>
    <t>Подрядная организация ИП Селяндина Т.Н., в т.ч. ремонт цоколя</t>
  </si>
  <si>
    <t>Подрядная организация ООО "Быт Сервис"(электрики), в т.ч. замена кабеля п.4</t>
  </si>
  <si>
    <t>845684,35/242356,05*5116,6</t>
  </si>
  <si>
    <t>642562,44/242356,05*5116,6</t>
  </si>
  <si>
    <t>51615/196822,43*5116,6</t>
  </si>
  <si>
    <t>129011,28/196822,43*5116,6</t>
  </si>
  <si>
    <t>164128/196822,43*5116,6</t>
  </si>
  <si>
    <t>298900,58/196822,43*5116,6</t>
  </si>
  <si>
    <t>Отчетный период с 01.07.07г. По 30.06.08г.</t>
  </si>
  <si>
    <t>___________ Мильченко О.Д.</t>
  </si>
  <si>
    <t>ул.Лызина 18</t>
  </si>
  <si>
    <t>ремонт канализации п.3</t>
  </si>
  <si>
    <t>Коммунальные услуги(сбой программы Сбербанка)</t>
  </si>
  <si>
    <t>401410,25/185335,63*3124,1</t>
  </si>
  <si>
    <t>435991,01/185335,63*3124,1</t>
  </si>
  <si>
    <t>1082167,74/226605,83*3124,1</t>
  </si>
  <si>
    <t>845684,35/242356,05*3344</t>
  </si>
  <si>
    <t>642562,44/242356,05*3344</t>
  </si>
  <si>
    <t>51615/196822,43*3334</t>
  </si>
  <si>
    <t>129011,28/196822,43*3344</t>
  </si>
  <si>
    <t>164128/196822,43*3344</t>
  </si>
  <si>
    <t>298900,58/196822,43*3344</t>
  </si>
  <si>
    <t>Дополнительные услуги ( установка приборов учета ТЭ)</t>
  </si>
  <si>
    <t>ООО "СК Электросвязь" (подключение к системе билинговое сопровождение АСКУТЭ)</t>
  </si>
  <si>
    <t>УФК Судебные приставы (госпошлина с исковых заявлений кв.37)</t>
  </si>
  <si>
    <t>ООО "Монтэкристе" (установка регулятора температуры ГВС)</t>
  </si>
  <si>
    <t>ООО "Монтэкристе" (установка теплосчетчика)</t>
  </si>
  <si>
    <t>ремонт конька кровли</t>
  </si>
  <si>
    <t>Подрядная организация ООО "Быт Сервис"(электрики), в т.ч. ремонт освещения п.4</t>
  </si>
  <si>
    <t>401410,25/185335,63*2794,1</t>
  </si>
  <si>
    <t>435991,01/185335,63*2794,1</t>
  </si>
  <si>
    <t>1082167,74/226605,83*2794,1</t>
  </si>
  <si>
    <t>Адрес: ул. Советская 83</t>
  </si>
  <si>
    <t>Санитарное состояние (п.2)</t>
  </si>
  <si>
    <t>ремонт подъезда №6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</si>
</sst>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#,##0.00&quot;р.&quot;"/>
    <numFmt numFmtId="171" formatCode="00000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_р_."/>
    <numFmt numFmtId="180" formatCode="#,##0.0"/>
    <numFmt numFmtId="181" formatCode="#,##0.00_ ;\-#,##0.00\ "/>
    <numFmt numFmtId="182" formatCode="0.00000000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49" fontId="6" fillId="33" borderId="18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13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3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18" xfId="0" applyNumberFormat="1" applyBorder="1" applyAlignment="1">
      <alignment horizontal="right" vertical="center"/>
    </xf>
    <xf numFmtId="49" fontId="0" fillId="0" borderId="15" xfId="0" applyNumberForma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2" fontId="3" fillId="34" borderId="14" xfId="0" applyNumberFormat="1" applyFont="1" applyFill="1" applyBorder="1" applyAlignment="1">
      <alignment vertical="center" wrapText="1"/>
    </xf>
    <xf numFmtId="2" fontId="3" fillId="0" borderId="17" xfId="0" applyNumberFormat="1" applyFont="1" applyBorder="1" applyAlignment="1">
      <alignment vertical="center"/>
    </xf>
    <xf numFmtId="2" fontId="0" fillId="0" borderId="14" xfId="0" applyNumberFormat="1" applyBorder="1" applyAlignment="1">
      <alignment horizontal="right" vertical="center"/>
    </xf>
    <xf numFmtId="2" fontId="3" fillId="0" borderId="23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3" fillId="0" borderId="13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right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2" fontId="3" fillId="0" borderId="14" xfId="0" applyNumberFormat="1" applyFont="1" applyBorder="1" applyAlignment="1">
      <alignment vertical="center"/>
    </xf>
    <xf numFmtId="49" fontId="0" fillId="0" borderId="25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24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2" fontId="3" fillId="0" borderId="14" xfId="0" applyNumberFormat="1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2" fontId="0" fillId="0" borderId="2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wrapText="1"/>
    </xf>
    <xf numFmtId="2" fontId="0" fillId="0" borderId="22" xfId="0" applyNumberFormat="1" applyBorder="1" applyAlignment="1">
      <alignment vertical="center"/>
    </xf>
    <xf numFmtId="2" fontId="0" fillId="0" borderId="21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2" fontId="0" fillId="0" borderId="10" xfId="0" applyNumberFormat="1" applyBorder="1" applyAlignment="1">
      <alignment vertical="center"/>
    </xf>
    <xf numFmtId="2" fontId="3" fillId="0" borderId="30" xfId="0" applyNumberFormat="1" applyFont="1" applyBorder="1" applyAlignment="1">
      <alignment/>
    </xf>
    <xf numFmtId="2" fontId="0" fillId="0" borderId="2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2" fontId="0" fillId="0" borderId="23" xfId="0" applyNumberFormat="1" applyBorder="1" applyAlignment="1">
      <alignment horizontal="center"/>
    </xf>
    <xf numFmtId="0" fontId="3" fillId="0" borderId="31" xfId="0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vertical="center"/>
    </xf>
    <xf numFmtId="2" fontId="3" fillId="0" borderId="3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2" fontId="0" fillId="0" borderId="15" xfId="0" applyNumberFormat="1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20" xfId="0" applyFont="1" applyBorder="1" applyAlignment="1">
      <alignment/>
    </xf>
    <xf numFmtId="0" fontId="3" fillId="0" borderId="38" xfId="0" applyFon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0" fillId="0" borderId="30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2" fontId="3" fillId="0" borderId="4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3" fillId="0" borderId="50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3" xfId="0" applyBorder="1" applyAlignment="1">
      <alignment/>
    </xf>
    <xf numFmtId="2" fontId="3" fillId="0" borderId="61" xfId="0" applyNumberFormat="1" applyFont="1" applyBorder="1" applyAlignment="1">
      <alignment horizontal="center" vertical="center"/>
    </xf>
    <xf numFmtId="2" fontId="0" fillId="0" borderId="57" xfId="0" applyNumberFormat="1" applyBorder="1" applyAlignment="1">
      <alignment/>
    </xf>
    <xf numFmtId="2" fontId="0" fillId="0" borderId="47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47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46" xfId="0" applyBorder="1" applyAlignment="1">
      <alignment/>
    </xf>
    <xf numFmtId="0" fontId="0" fillId="0" borderId="57" xfId="0" applyBorder="1" applyAlignment="1">
      <alignment/>
    </xf>
    <xf numFmtId="0" fontId="0" fillId="0" borderId="52" xfId="0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0" fontId="0" fillId="0" borderId="56" xfId="0" applyBorder="1" applyAlignment="1">
      <alignment wrapText="1"/>
    </xf>
    <xf numFmtId="0" fontId="0" fillId="0" borderId="62" xfId="0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0" fillId="0" borderId="63" xfId="0" applyBorder="1" applyAlignment="1">
      <alignment/>
    </xf>
    <xf numFmtId="2" fontId="3" fillId="34" borderId="14" xfId="0" applyNumberFormat="1" applyFont="1" applyFill="1" applyBorder="1" applyAlignment="1">
      <alignment vertical="center"/>
    </xf>
    <xf numFmtId="2" fontId="0" fillId="0" borderId="21" xfId="0" applyNumberFormat="1" applyBorder="1" applyAlignment="1">
      <alignment horizontal="right"/>
    </xf>
    <xf numFmtId="0" fontId="4" fillId="0" borderId="29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2" fontId="3" fillId="0" borderId="32" xfId="0" applyNumberFormat="1" applyFont="1" applyBorder="1" applyAlignment="1">
      <alignment/>
    </xf>
    <xf numFmtId="2" fontId="0" fillId="0" borderId="0" xfId="0" applyNumberFormat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53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21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2" fontId="0" fillId="0" borderId="49" xfId="0" applyNumberFormat="1" applyBorder="1" applyAlignment="1">
      <alignment vertical="center"/>
    </xf>
    <xf numFmtId="0" fontId="0" fillId="0" borderId="64" xfId="0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wrapText="1"/>
    </xf>
    <xf numFmtId="49" fontId="3" fillId="0" borderId="69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49" xfId="0" applyBorder="1" applyAlignment="1">
      <alignment/>
    </xf>
    <xf numFmtId="0" fontId="0" fillId="0" borderId="16" xfId="0" applyBorder="1" applyAlignment="1">
      <alignment vertical="center"/>
    </xf>
    <xf numFmtId="2" fontId="0" fillId="0" borderId="49" xfId="0" applyNumberFormat="1" applyBorder="1" applyAlignment="1">
      <alignment/>
    </xf>
    <xf numFmtId="0" fontId="3" fillId="0" borderId="72" xfId="0" applyFont="1" applyBorder="1" applyAlignment="1">
      <alignment/>
    </xf>
    <xf numFmtId="0" fontId="3" fillId="0" borderId="30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2" fontId="3" fillId="0" borderId="73" xfId="0" applyNumberFormat="1" applyFont="1" applyBorder="1" applyAlignment="1">
      <alignment/>
    </xf>
    <xf numFmtId="2" fontId="0" fillId="0" borderId="17" xfId="0" applyNumberFormat="1" applyBorder="1" applyAlignment="1">
      <alignment horizontal="right"/>
    </xf>
    <xf numFmtId="2" fontId="3" fillId="0" borderId="74" xfId="0" applyNumberFormat="1" applyFont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2" fontId="3" fillId="0" borderId="28" xfId="0" applyNumberFormat="1" applyFont="1" applyBorder="1" applyAlignment="1">
      <alignment horizontal="right" vertical="center"/>
    </xf>
    <xf numFmtId="2" fontId="3" fillId="0" borderId="72" xfId="0" applyNumberFormat="1" applyFont="1" applyBorder="1" applyAlignment="1">
      <alignment/>
    </xf>
    <xf numFmtId="2" fontId="0" fillId="0" borderId="20" xfId="0" applyNumberFormat="1" applyBorder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wrapText="1"/>
    </xf>
    <xf numFmtId="2" fontId="0" fillId="0" borderId="73" xfId="0" applyNumberFormat="1" applyBorder="1" applyAlignment="1">
      <alignment/>
    </xf>
    <xf numFmtId="0" fontId="0" fillId="0" borderId="73" xfId="0" applyBorder="1" applyAlignment="1">
      <alignment/>
    </xf>
    <xf numFmtId="2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horizontal="right" vertical="center"/>
    </xf>
    <xf numFmtId="0" fontId="0" fillId="0" borderId="24" xfId="0" applyBorder="1" applyAlignment="1">
      <alignment wrapText="1"/>
    </xf>
    <xf numFmtId="2" fontId="0" fillId="0" borderId="20" xfId="0" applyNumberFormat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vertical="center" wrapText="1"/>
    </xf>
    <xf numFmtId="2" fontId="3" fillId="0" borderId="74" xfId="0" applyNumberFormat="1" applyFont="1" applyBorder="1" applyAlignment="1">
      <alignment horizontal="center" vertical="center"/>
    </xf>
    <xf numFmtId="2" fontId="3" fillId="0" borderId="73" xfId="0" applyNumberFormat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3" fillId="0" borderId="42" xfId="0" applyNumberFormat="1" applyFon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3" fillId="0" borderId="31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3" fillId="0" borderId="5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3" fillId="0" borderId="45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76" xfId="0" applyBorder="1" applyAlignment="1">
      <alignment/>
    </xf>
    <xf numFmtId="2" fontId="3" fillId="0" borderId="76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vertical="center"/>
    </xf>
    <xf numFmtId="2" fontId="3" fillId="0" borderId="45" xfId="0" applyNumberFormat="1" applyFont="1" applyBorder="1" applyAlignment="1">
      <alignment horizontal="right" vertical="center"/>
    </xf>
    <xf numFmtId="2" fontId="3" fillId="0" borderId="30" xfId="0" applyNumberFormat="1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78" xfId="0" applyBorder="1" applyAlignment="1">
      <alignment/>
    </xf>
    <xf numFmtId="0" fontId="3" fillId="0" borderId="53" xfId="0" applyFont="1" applyBorder="1" applyAlignment="1">
      <alignment/>
    </xf>
    <xf numFmtId="2" fontId="0" fillId="0" borderId="4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2" fontId="3" fillId="0" borderId="67" xfId="0" applyNumberFormat="1" applyFont="1" applyBorder="1" applyAlignment="1">
      <alignment/>
    </xf>
    <xf numFmtId="2" fontId="3" fillId="0" borderId="6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49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2" fontId="0" fillId="0" borderId="20" xfId="0" applyNumberFormat="1" applyBorder="1" applyAlignment="1">
      <alignment horizontal="right"/>
    </xf>
    <xf numFmtId="2" fontId="3" fillId="0" borderId="77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6" xfId="0" applyFont="1" applyBorder="1" applyAlignment="1">
      <alignment/>
    </xf>
    <xf numFmtId="2" fontId="0" fillId="0" borderId="14" xfId="0" applyNumberFormat="1" applyBorder="1" applyAlignment="1">
      <alignment vertical="center"/>
    </xf>
    <xf numFmtId="2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7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29" xfId="0" applyFont="1" applyBorder="1" applyAlignment="1">
      <alignment/>
    </xf>
    <xf numFmtId="2" fontId="0" fillId="0" borderId="17" xfId="0" applyNumberFormat="1" applyBorder="1" applyAlignment="1">
      <alignment horizontal="right" vertical="center"/>
    </xf>
    <xf numFmtId="2" fontId="3" fillId="0" borderId="29" xfId="0" applyNumberFormat="1" applyFont="1" applyBorder="1" applyAlignment="1">
      <alignment vertical="center"/>
    </xf>
    <xf numFmtId="2" fontId="3" fillId="0" borderId="26" xfId="0" applyNumberFormat="1" applyFont="1" applyBorder="1" applyAlignment="1">
      <alignment vertical="center"/>
    </xf>
    <xf numFmtId="2" fontId="3" fillId="0" borderId="77" xfId="0" applyNumberFormat="1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3" fillId="0" borderId="20" xfId="0" applyFont="1" applyBorder="1" applyAlignment="1">
      <alignment wrapText="1"/>
    </xf>
    <xf numFmtId="2" fontId="0" fillId="0" borderId="10" xfId="0" applyNumberFormat="1" applyBorder="1" applyAlignment="1">
      <alignment vertical="center" wrapText="1"/>
    </xf>
    <xf numFmtId="2" fontId="3" fillId="0" borderId="27" xfId="0" applyNumberFormat="1" applyFont="1" applyBorder="1" applyAlignment="1">
      <alignment horizont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2" fontId="3" fillId="0" borderId="53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2" fontId="3" fillId="34" borderId="11" xfId="0" applyNumberFormat="1" applyFont="1" applyFill="1" applyBorder="1" applyAlignment="1">
      <alignment vertical="center" wrapText="1"/>
    </xf>
    <xf numFmtId="2" fontId="3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3" fillId="0" borderId="79" xfId="0" applyFont="1" applyBorder="1" applyAlignment="1">
      <alignment/>
    </xf>
    <xf numFmtId="2" fontId="3" fillId="0" borderId="38" xfId="0" applyNumberFormat="1" applyFont="1" applyBorder="1" applyAlignment="1">
      <alignment horizontal="center"/>
    </xf>
    <xf numFmtId="0" fontId="3" fillId="0" borderId="78" xfId="0" applyFont="1" applyBorder="1" applyAlignment="1">
      <alignment/>
    </xf>
    <xf numFmtId="2" fontId="3" fillId="0" borderId="6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38" xfId="0" applyBorder="1" applyAlignment="1">
      <alignment/>
    </xf>
    <xf numFmtId="2" fontId="3" fillId="0" borderId="34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/>
    </xf>
    <xf numFmtId="49" fontId="0" fillId="0" borderId="18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0" fillId="0" borderId="54" xfId="0" applyNumberFormat="1" applyBorder="1" applyAlignment="1">
      <alignment/>
    </xf>
    <xf numFmtId="0" fontId="0" fillId="0" borderId="48" xfId="0" applyBorder="1" applyAlignment="1">
      <alignment/>
    </xf>
    <xf numFmtId="49" fontId="0" fillId="0" borderId="55" xfId="0" applyNumberFormat="1" applyBorder="1" applyAlignment="1">
      <alignment/>
    </xf>
    <xf numFmtId="0" fontId="0" fillId="0" borderId="36" xfId="0" applyBorder="1" applyAlignment="1">
      <alignment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80" xfId="0" applyFont="1" applyBorder="1" applyAlignment="1">
      <alignment/>
    </xf>
    <xf numFmtId="0" fontId="0" fillId="0" borderId="8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7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7" xfId="0" applyBorder="1" applyAlignment="1">
      <alignment/>
    </xf>
    <xf numFmtId="0" fontId="10" fillId="0" borderId="7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51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9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78" xfId="0" applyFont="1" applyBorder="1" applyAlignment="1">
      <alignment wrapText="1"/>
    </xf>
    <xf numFmtId="0" fontId="3" fillId="0" borderId="67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77" xfId="0" applyFont="1" applyBorder="1" applyAlignment="1">
      <alignment wrapText="1"/>
    </xf>
    <xf numFmtId="0" fontId="7" fillId="0" borderId="5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10" xfId="0" applyBorder="1" applyAlignment="1">
      <alignment wrapText="1"/>
    </xf>
    <xf numFmtId="2" fontId="3" fillId="0" borderId="51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51.125" style="0" customWidth="1"/>
    <col min="3" max="3" width="10.87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1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284</v>
      </c>
      <c r="C7" s="26"/>
      <c r="D7" s="24"/>
    </row>
    <row r="8" spans="1:4" ht="15">
      <c r="A8" s="26"/>
      <c r="B8" s="27" t="s">
        <v>115</v>
      </c>
      <c r="C8" s="38">
        <v>3124.1</v>
      </c>
      <c r="D8" s="92" t="s">
        <v>116</v>
      </c>
    </row>
    <row r="9" spans="1:4" ht="15">
      <c r="A9" s="26"/>
      <c r="B9" s="27" t="s">
        <v>654</v>
      </c>
      <c r="C9" s="93">
        <v>219.9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383415.33</v>
      </c>
      <c r="D12" s="155">
        <v>389090.98</v>
      </c>
      <c r="E12" s="242">
        <f aca="true" t="shared" si="0" ref="E12:E18">D12-C12</f>
        <v>5675.649999999965</v>
      </c>
    </row>
    <row r="13" spans="1:5" ht="12.75">
      <c r="A13" s="84">
        <v>2</v>
      </c>
      <c r="B13" s="5" t="s">
        <v>637</v>
      </c>
      <c r="C13" s="10">
        <v>186694.71</v>
      </c>
      <c r="D13" s="34">
        <f>189787.59+0.21</f>
        <v>189787.8</v>
      </c>
      <c r="E13" s="57">
        <f t="shared" si="0"/>
        <v>3093.0899999999965</v>
      </c>
    </row>
    <row r="14" spans="1:5" ht="12.75">
      <c r="A14" s="87">
        <v>3</v>
      </c>
      <c r="B14" s="5" t="s">
        <v>633</v>
      </c>
      <c r="C14" s="67">
        <v>67417.31</v>
      </c>
      <c r="D14" s="83">
        <v>68277.44</v>
      </c>
      <c r="E14" s="57">
        <f t="shared" si="0"/>
        <v>860.1300000000047</v>
      </c>
    </row>
    <row r="15" spans="1:5" ht="12.75">
      <c r="A15" s="84">
        <v>4</v>
      </c>
      <c r="B15" s="65" t="s">
        <v>364</v>
      </c>
      <c r="C15" s="94">
        <v>6880.74</v>
      </c>
      <c r="D15" s="83">
        <v>10215.99</v>
      </c>
      <c r="E15" s="57">
        <f t="shared" si="0"/>
        <v>3335.25</v>
      </c>
    </row>
    <row r="16" spans="1:5" ht="12.75">
      <c r="A16" s="87">
        <v>5</v>
      </c>
      <c r="B16" s="351" t="s">
        <v>1210</v>
      </c>
      <c r="C16" s="258">
        <v>35177.83</v>
      </c>
      <c r="D16" s="258">
        <v>51072.87</v>
      </c>
      <c r="E16" s="66">
        <f t="shared" si="0"/>
        <v>15895.04</v>
      </c>
    </row>
    <row r="17" spans="1:5" ht="12.75">
      <c r="A17" s="84">
        <v>6</v>
      </c>
      <c r="B17" s="65" t="s">
        <v>29</v>
      </c>
      <c r="C17" s="94">
        <f>2400</f>
        <v>2400</v>
      </c>
      <c r="D17" s="83">
        <f>2400</f>
        <v>2400</v>
      </c>
      <c r="E17" s="57">
        <f t="shared" si="0"/>
        <v>0</v>
      </c>
    </row>
    <row r="18" spans="1:5" ht="13.5" thickBot="1">
      <c r="A18" s="87">
        <v>7</v>
      </c>
      <c r="B18" s="5" t="s">
        <v>805</v>
      </c>
      <c r="C18" s="67">
        <v>65114.6</v>
      </c>
      <c r="D18" s="83">
        <v>45838.16</v>
      </c>
      <c r="E18" s="57">
        <f t="shared" si="0"/>
        <v>-19276.439999999995</v>
      </c>
    </row>
    <row r="19" spans="1:5" ht="13.5" thickBot="1">
      <c r="A19" s="208"/>
      <c r="B19" s="209"/>
      <c r="C19" s="135">
        <f>SUM(C12:C18)</f>
        <v>747100.52</v>
      </c>
      <c r="D19" s="135">
        <f>SUM(D12:D18)</f>
        <v>756683.24</v>
      </c>
      <c r="E19" s="136">
        <f>SUM(E12:E18)</f>
        <v>9582.719999999972</v>
      </c>
    </row>
    <row r="20" spans="1:5" ht="12.75">
      <c r="A20" s="385" t="s">
        <v>793</v>
      </c>
      <c r="B20" s="386"/>
      <c r="C20" s="386"/>
      <c r="D20" s="386"/>
      <c r="E20" s="108">
        <f>E142</f>
        <v>92514.42000000001</v>
      </c>
    </row>
    <row r="21" spans="1:5" ht="12.75">
      <c r="A21" s="387" t="s">
        <v>794</v>
      </c>
      <c r="B21" s="384"/>
      <c r="C21" s="384"/>
      <c r="D21" s="384"/>
      <c r="E21" s="22">
        <v>296257.24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25.5">
      <c r="A24" s="86">
        <v>1</v>
      </c>
      <c r="B24" s="64" t="s">
        <v>884</v>
      </c>
      <c r="C24" s="80">
        <f>C63</f>
        <v>377086.09</v>
      </c>
      <c r="E24" s="29"/>
    </row>
    <row r="25" spans="1:5" ht="25.5">
      <c r="A25" s="91">
        <v>2</v>
      </c>
      <c r="B25" s="25" t="s">
        <v>1216</v>
      </c>
      <c r="C25" s="102">
        <f>C71</f>
        <v>30726.35</v>
      </c>
      <c r="D25" s="388"/>
      <c r="E25" s="389"/>
    </row>
    <row r="26" spans="1:5" ht="12.75">
      <c r="A26" s="84">
        <v>3</v>
      </c>
      <c r="B26" s="9" t="s">
        <v>649</v>
      </c>
      <c r="C26" s="48">
        <v>2531.12</v>
      </c>
      <c r="E26" s="29"/>
    </row>
    <row r="27" spans="1:5" ht="12.75">
      <c r="A27" s="84">
        <v>4</v>
      </c>
      <c r="B27" s="9" t="s">
        <v>122</v>
      </c>
      <c r="C27" s="48">
        <f>(C8*0.55*12)</f>
        <v>20619.06</v>
      </c>
      <c r="E27" s="29"/>
    </row>
    <row r="28" spans="1:5" ht="12.75">
      <c r="A28" s="84">
        <v>5</v>
      </c>
      <c r="B28" s="9" t="s">
        <v>658</v>
      </c>
      <c r="C28" s="79">
        <v>41786.16</v>
      </c>
      <c r="E28" s="29"/>
    </row>
    <row r="29" spans="1:5" ht="25.5">
      <c r="A29" s="91">
        <v>6</v>
      </c>
      <c r="B29" s="25" t="s">
        <v>1128</v>
      </c>
      <c r="C29" s="96">
        <v>600</v>
      </c>
      <c r="E29" s="29"/>
    </row>
    <row r="30" spans="1:5" ht="25.5">
      <c r="A30" s="91">
        <v>7</v>
      </c>
      <c r="B30" s="25" t="s">
        <v>1211</v>
      </c>
      <c r="C30" s="96">
        <v>7900</v>
      </c>
      <c r="E30" s="29"/>
    </row>
    <row r="31" spans="1:5" ht="25.5">
      <c r="A31" s="91">
        <v>8</v>
      </c>
      <c r="B31" s="25" t="s">
        <v>1213</v>
      </c>
      <c r="C31" s="79">
        <v>21743.36</v>
      </c>
      <c r="E31" s="29"/>
    </row>
    <row r="32" spans="1:5" ht="25.5">
      <c r="A32" s="84">
        <v>9</v>
      </c>
      <c r="B32" s="25" t="s">
        <v>1212</v>
      </c>
      <c r="C32" s="79">
        <v>2056.8</v>
      </c>
      <c r="E32" s="29"/>
    </row>
    <row r="33" spans="1:5" ht="12.75">
      <c r="A33" s="91">
        <v>10</v>
      </c>
      <c r="B33" s="25" t="s">
        <v>1214</v>
      </c>
      <c r="C33" s="96">
        <v>61086.71</v>
      </c>
      <c r="E33" s="29"/>
    </row>
    <row r="34" spans="1:5" ht="25.5">
      <c r="A34" s="91">
        <v>11</v>
      </c>
      <c r="B34" s="25" t="s">
        <v>1060</v>
      </c>
      <c r="C34" s="96">
        <v>3238.9</v>
      </c>
      <c r="E34" s="29"/>
    </row>
    <row r="35" spans="1:5" ht="12.75">
      <c r="A35" s="91">
        <v>12</v>
      </c>
      <c r="B35" s="25" t="s">
        <v>356</v>
      </c>
      <c r="C35" s="349">
        <v>600</v>
      </c>
      <c r="E35" s="29"/>
    </row>
    <row r="36" spans="1:3" ht="12.75">
      <c r="A36" s="50"/>
      <c r="B36" s="20" t="s">
        <v>629</v>
      </c>
      <c r="C36" s="51">
        <f>SUM(C24:C35)</f>
        <v>569974.55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(C19)*15%</f>
        <v>112065.078</v>
      </c>
    </row>
    <row r="39" spans="1:3" ht="12.75">
      <c r="A39" s="84">
        <v>2</v>
      </c>
      <c r="B39" s="9" t="s">
        <v>813</v>
      </c>
      <c r="C39" s="48">
        <f>C78</f>
        <v>6766.350118565977</v>
      </c>
    </row>
    <row r="40" spans="1:3" ht="12.75">
      <c r="A40" s="84">
        <v>3</v>
      </c>
      <c r="B40" s="9" t="s">
        <v>653</v>
      </c>
      <c r="C40" s="48">
        <f>C79</f>
        <v>7349.258824873555</v>
      </c>
    </row>
    <row r="41" spans="1:3" ht="12.75">
      <c r="A41" s="84">
        <v>4</v>
      </c>
      <c r="B41" s="9" t="s">
        <v>1114</v>
      </c>
      <c r="C41" s="52">
        <f>C80</f>
        <v>14919.289255267615</v>
      </c>
    </row>
    <row r="42" spans="1:3" ht="12.75">
      <c r="A42" s="84">
        <v>5</v>
      </c>
      <c r="B42" s="9" t="s">
        <v>162</v>
      </c>
      <c r="C42" s="52">
        <f>C81</f>
        <v>11668.652242846838</v>
      </c>
    </row>
    <row r="43" spans="1:3" ht="12.75">
      <c r="A43" s="84">
        <v>6</v>
      </c>
      <c r="B43" s="9" t="s">
        <v>1051</v>
      </c>
      <c r="C43" s="48">
        <f>C82+C84+C85+C86+C83</f>
        <v>19801.653525952224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172570.2819675062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C19*2%</f>
        <v>14942.010400000001</v>
      </c>
    </row>
    <row r="51" spans="1:3" ht="12.75">
      <c r="A51" s="84">
        <v>2</v>
      </c>
      <c r="B51" s="9" t="s">
        <v>391</v>
      </c>
      <c r="C51" s="48">
        <f>C52</f>
        <v>43929.510576</v>
      </c>
    </row>
    <row r="52" spans="1:4" ht="12.75">
      <c r="A52" s="49"/>
      <c r="B52" s="5" t="s">
        <v>334</v>
      </c>
      <c r="C52" s="41">
        <f>(C19-C50)*6%</f>
        <v>43929.510576</v>
      </c>
      <c r="D52" s="19"/>
    </row>
    <row r="53" spans="1:3" ht="13.5" thickBot="1">
      <c r="A53" s="54"/>
      <c r="B53" s="55" t="s">
        <v>967</v>
      </c>
      <c r="C53" s="56">
        <f>C50+C51</f>
        <v>58871.520976</v>
      </c>
    </row>
    <row r="54" spans="1:3" ht="12.75">
      <c r="A54" s="23"/>
      <c r="B54" s="4" t="s">
        <v>288</v>
      </c>
      <c r="C54" s="11">
        <f>C36+C48+C53</f>
        <v>801416.3529435062</v>
      </c>
    </row>
    <row r="55" spans="1:3" ht="12.75">
      <c r="A55" s="23"/>
      <c r="B55" s="77"/>
      <c r="C55" s="1"/>
    </row>
    <row r="56" spans="1:3" ht="15">
      <c r="A56" s="23"/>
      <c r="B56" s="14" t="s">
        <v>975</v>
      </c>
      <c r="C56" s="1">
        <v>16822.71</v>
      </c>
    </row>
    <row r="57" spans="1:3" ht="15">
      <c r="A57" s="23"/>
      <c r="B57" s="14" t="s">
        <v>180</v>
      </c>
      <c r="C57" s="11">
        <f>C54-C56-C19</f>
        <v>37493.12294350623</v>
      </c>
    </row>
    <row r="58" ht="12.75">
      <c r="B58" s="1" t="s">
        <v>85</v>
      </c>
    </row>
    <row r="59" ht="15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108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3344</v>
      </c>
      <c r="E62" t="s">
        <v>116</v>
      </c>
    </row>
    <row r="63" spans="1:5" ht="12.75">
      <c r="A63" s="60" t="s">
        <v>218</v>
      </c>
      <c r="B63" s="39" t="s">
        <v>165</v>
      </c>
      <c r="C63" s="47">
        <v>377086.09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5920.5</v>
      </c>
      <c r="D65" s="15"/>
      <c r="E65" s="15"/>
    </row>
    <row r="66" spans="1:5" ht="12.75">
      <c r="A66" s="62" t="s">
        <v>166</v>
      </c>
      <c r="B66" s="6" t="s">
        <v>341</v>
      </c>
      <c r="C66" s="41">
        <v>11442.15</v>
      </c>
      <c r="D66" s="15"/>
      <c r="E66" s="15"/>
    </row>
    <row r="67" spans="1:5" ht="12.75">
      <c r="A67" s="62" t="s">
        <v>166</v>
      </c>
      <c r="B67" s="6" t="s">
        <v>1215</v>
      </c>
      <c r="C67" s="41">
        <v>31550.71</v>
      </c>
      <c r="D67" s="15"/>
      <c r="E67" s="15"/>
    </row>
    <row r="68" spans="1:5" ht="12.75">
      <c r="A68" s="62" t="s">
        <v>166</v>
      </c>
      <c r="B68" s="6" t="s">
        <v>281</v>
      </c>
      <c r="C68" s="41">
        <v>62848.89</v>
      </c>
      <c r="D68" s="15"/>
      <c r="E68" s="15"/>
    </row>
    <row r="69" spans="1:5" ht="12.75">
      <c r="A69" s="62" t="s">
        <v>166</v>
      </c>
      <c r="B69" s="6" t="s">
        <v>825</v>
      </c>
      <c r="C69" s="41">
        <v>866.67</v>
      </c>
      <c r="D69" s="15"/>
      <c r="E69" s="15"/>
    </row>
    <row r="70" spans="1:5" ht="13.5" thickBot="1">
      <c r="A70" s="63" t="s">
        <v>166</v>
      </c>
      <c r="B70" s="42" t="s">
        <v>818</v>
      </c>
      <c r="C70" s="46">
        <v>3297.55</v>
      </c>
      <c r="D70" s="15"/>
      <c r="E70" s="15"/>
    </row>
    <row r="71" spans="1:5" ht="12.75">
      <c r="A71" s="60" t="s">
        <v>328</v>
      </c>
      <c r="B71" s="39" t="s">
        <v>343</v>
      </c>
      <c r="C71" s="47">
        <v>30726.35</v>
      </c>
      <c r="D71" s="15"/>
      <c r="E71" s="12"/>
    </row>
    <row r="72" spans="1:5" ht="12.75">
      <c r="A72" s="61"/>
      <c r="B72" s="6" t="s">
        <v>118</v>
      </c>
      <c r="C72" s="41"/>
      <c r="D72" s="15"/>
      <c r="E72" s="12"/>
    </row>
    <row r="73" spans="1:5" ht="12.75">
      <c r="A73" s="62" t="s">
        <v>166</v>
      </c>
      <c r="B73" s="6" t="s">
        <v>380</v>
      </c>
      <c r="C73" s="41">
        <v>699</v>
      </c>
      <c r="D73" s="15"/>
      <c r="E73" s="12"/>
    </row>
    <row r="74" spans="1:5" ht="12.75">
      <c r="A74" s="62" t="s">
        <v>166</v>
      </c>
      <c r="B74" s="6" t="s">
        <v>1057</v>
      </c>
      <c r="C74" s="41">
        <v>17383.55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178.64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172570.2819675062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C38</f>
        <v>112065.078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6766.350118565977</v>
      </c>
      <c r="D78" s="375" t="s">
        <v>1201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7349.258824873555</v>
      </c>
      <c r="D79" s="377" t="s">
        <v>1202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14919.289255267615</v>
      </c>
      <c r="D80" s="379" t="s">
        <v>1203</v>
      </c>
      <c r="E80" s="380"/>
    </row>
    <row r="81" spans="1:5" ht="25.5">
      <c r="A81" s="73" t="s">
        <v>166</v>
      </c>
      <c r="B81" s="72" t="s">
        <v>231</v>
      </c>
      <c r="C81" s="318">
        <f>845684.35/242356.05*D62</f>
        <v>11668.652242846838</v>
      </c>
      <c r="D81" s="381" t="s">
        <v>1204</v>
      </c>
      <c r="E81" s="382"/>
    </row>
    <row r="82" spans="1:5" ht="12.75">
      <c r="A82" s="73" t="s">
        <v>166</v>
      </c>
      <c r="B82" s="74" t="s">
        <v>808</v>
      </c>
      <c r="C82" s="318">
        <f>642562.44/242356.05*D62</f>
        <v>8866.000247817208</v>
      </c>
      <c r="D82" s="371" t="s">
        <v>1205</v>
      </c>
      <c r="E82" s="372"/>
    </row>
    <row r="83" spans="1:5" ht="12.75">
      <c r="A83" s="73" t="s">
        <v>166</v>
      </c>
      <c r="B83" s="74" t="s">
        <v>826</v>
      </c>
      <c r="C83" s="318">
        <f>51615/196822.43*D62</f>
        <v>876.9354183870203</v>
      </c>
      <c r="D83" s="371" t="s">
        <v>1206</v>
      </c>
      <c r="E83" s="372"/>
    </row>
    <row r="84" spans="1:5" ht="12.75">
      <c r="A84" s="73" t="s">
        <v>166</v>
      </c>
      <c r="B84" s="74" t="s">
        <v>655</v>
      </c>
      <c r="C84" s="318">
        <f>129011.28/196822.43*D62</f>
        <v>2191.893069910782</v>
      </c>
      <c r="D84" s="371" t="s">
        <v>1207</v>
      </c>
      <c r="E84" s="372"/>
    </row>
    <row r="85" spans="1:5" ht="12.75">
      <c r="A85" s="73" t="s">
        <v>166</v>
      </c>
      <c r="B85" s="74" t="s">
        <v>656</v>
      </c>
      <c r="C85" s="318">
        <f>164128/196822.43*D62</f>
        <v>2788.523807982657</v>
      </c>
      <c r="D85" s="373" t="s">
        <v>1208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298900.58/196822.43*D62</f>
        <v>5078.300981854558</v>
      </c>
      <c r="D86" s="369" t="s">
        <v>1209</v>
      </c>
      <c r="E86" s="370"/>
    </row>
    <row r="87" ht="13.5" thickBot="1"/>
    <row r="88" spans="2:5" ht="26.25" thickBot="1">
      <c r="B88" s="143"/>
      <c r="C88" s="205" t="s">
        <v>104</v>
      </c>
      <c r="D88" s="236" t="s">
        <v>306</v>
      </c>
      <c r="E88" s="130" t="s">
        <v>305</v>
      </c>
    </row>
    <row r="89" spans="2:5" ht="13.5" thickBot="1">
      <c r="B89" s="363" t="s">
        <v>8</v>
      </c>
      <c r="C89" s="364"/>
      <c r="D89" s="364"/>
      <c r="E89" s="365"/>
    </row>
    <row r="90" spans="2:5" ht="12.75">
      <c r="B90" s="140" t="s">
        <v>285</v>
      </c>
      <c r="C90" s="141">
        <v>238156.46</v>
      </c>
      <c r="D90" s="218">
        <v>261393.12</v>
      </c>
      <c r="E90" s="44">
        <f>D90-C90</f>
        <v>23236.660000000003</v>
      </c>
    </row>
    <row r="91" spans="2:5" ht="12.75">
      <c r="B91" s="115" t="s">
        <v>637</v>
      </c>
      <c r="C91" s="5">
        <v>114840.93</v>
      </c>
      <c r="D91" s="99">
        <v>126383.76</v>
      </c>
      <c r="E91" s="45">
        <f>D91-C91</f>
        <v>11542.830000000002</v>
      </c>
    </row>
    <row r="92" spans="2:5" ht="13.5" thickBot="1">
      <c r="B92" s="157" t="s">
        <v>633</v>
      </c>
      <c r="C92" s="95">
        <v>21357.68</v>
      </c>
      <c r="D92" s="235">
        <v>24400.8</v>
      </c>
      <c r="E92" s="46">
        <f>D92-C92</f>
        <v>3043.119999999999</v>
      </c>
    </row>
    <row r="93" spans="2:5" ht="13.5" thickBot="1">
      <c r="B93" s="124"/>
      <c r="C93" s="118">
        <f>SUM(C90:C92)</f>
        <v>374355.07</v>
      </c>
      <c r="D93" s="118">
        <f>SUM(D90:D92)</f>
        <v>412177.68</v>
      </c>
      <c r="E93" s="119">
        <f>SUM(E90:E92)</f>
        <v>37822.61</v>
      </c>
    </row>
    <row r="94" spans="2:5" ht="13.5" thickBot="1">
      <c r="B94" s="363" t="s">
        <v>7</v>
      </c>
      <c r="C94" s="364"/>
      <c r="D94" s="364"/>
      <c r="E94" s="365"/>
    </row>
    <row r="95" spans="2:5" ht="12.75">
      <c r="B95" s="140" t="s">
        <v>285</v>
      </c>
      <c r="C95" s="141">
        <v>267081.74</v>
      </c>
      <c r="D95" s="218">
        <v>261383.36</v>
      </c>
      <c r="E95" s="44">
        <f aca="true" t="shared" si="1" ref="E95:E100">D95-C95</f>
        <v>-5698.380000000005</v>
      </c>
    </row>
    <row r="96" spans="2:5" ht="12.75">
      <c r="B96" s="115" t="s">
        <v>637</v>
      </c>
      <c r="C96" s="5">
        <v>129755.82</v>
      </c>
      <c r="D96" s="98">
        <v>126379.04</v>
      </c>
      <c r="E96" s="45">
        <f t="shared" si="1"/>
        <v>-3376.7800000000134</v>
      </c>
    </row>
    <row r="97" spans="2:5" ht="12.75">
      <c r="B97" s="115" t="s">
        <v>888</v>
      </c>
      <c r="C97" s="5">
        <v>38451.14</v>
      </c>
      <c r="D97" s="98">
        <v>37501.2</v>
      </c>
      <c r="E97" s="45">
        <f t="shared" si="1"/>
        <v>-949.9400000000023</v>
      </c>
    </row>
    <row r="98" spans="2:5" ht="12.75">
      <c r="B98" s="115" t="s">
        <v>332</v>
      </c>
      <c r="C98" s="5">
        <v>30105.19</v>
      </c>
      <c r="D98" s="98">
        <v>31998.53</v>
      </c>
      <c r="E98" s="45">
        <f t="shared" si="1"/>
        <v>1893.3400000000001</v>
      </c>
    </row>
    <row r="99" spans="2:5" ht="12.75">
      <c r="B99" s="115" t="s">
        <v>885</v>
      </c>
      <c r="C99" s="10">
        <v>10000</v>
      </c>
      <c r="D99" s="98">
        <v>10000</v>
      </c>
      <c r="E99" s="45">
        <f t="shared" si="1"/>
        <v>0</v>
      </c>
    </row>
    <row r="100" spans="2:5" ht="13.5" thickBot="1">
      <c r="B100" s="157" t="s">
        <v>291</v>
      </c>
      <c r="C100" s="225">
        <v>18000</v>
      </c>
      <c r="D100" s="227">
        <v>18000</v>
      </c>
      <c r="E100" s="46">
        <f t="shared" si="1"/>
        <v>0</v>
      </c>
    </row>
    <row r="101" spans="2:5" ht="13.5" thickBot="1">
      <c r="B101" s="124"/>
      <c r="C101" s="252">
        <f>SUM(C95:C100)</f>
        <v>493393.89</v>
      </c>
      <c r="D101" s="252">
        <f>SUM(D95:D100)</f>
        <v>485262.13</v>
      </c>
      <c r="E101" s="119">
        <f>SUM(E95:E100)</f>
        <v>-8131.76000000002</v>
      </c>
    </row>
    <row r="102" spans="2:5" ht="13.5" thickBot="1">
      <c r="B102" s="363" t="s">
        <v>413</v>
      </c>
      <c r="C102" s="364"/>
      <c r="D102" s="364"/>
      <c r="E102" s="365"/>
    </row>
    <row r="103" spans="2:5" ht="12.75">
      <c r="B103" s="140" t="s">
        <v>285</v>
      </c>
      <c r="C103" s="212">
        <v>291936.07</v>
      </c>
      <c r="D103" s="223">
        <v>309524.13</v>
      </c>
      <c r="E103" s="44">
        <f aca="true" t="shared" si="2" ref="E103:E108">D103-C103</f>
        <v>17588.059999999998</v>
      </c>
    </row>
    <row r="104" spans="2:5" ht="12.75">
      <c r="B104" s="115" t="s">
        <v>637</v>
      </c>
      <c r="C104" s="18">
        <v>137795.46</v>
      </c>
      <c r="D104" s="18">
        <v>137795.42</v>
      </c>
      <c r="E104" s="45">
        <f t="shared" si="2"/>
        <v>-0.03999999997904524</v>
      </c>
    </row>
    <row r="105" spans="2:5" ht="12.75">
      <c r="B105" s="115" t="s">
        <v>805</v>
      </c>
      <c r="C105" s="18">
        <v>8538.02</v>
      </c>
      <c r="D105" s="18">
        <v>8898.94</v>
      </c>
      <c r="E105" s="45">
        <f t="shared" si="2"/>
        <v>360.9200000000001</v>
      </c>
    </row>
    <row r="106" spans="2:5" ht="12.75">
      <c r="B106" s="115" t="s">
        <v>408</v>
      </c>
      <c r="C106" s="18">
        <v>42707.34</v>
      </c>
      <c r="D106" s="18">
        <v>45972.77</v>
      </c>
      <c r="E106" s="45">
        <f t="shared" si="2"/>
        <v>3265.4300000000003</v>
      </c>
    </row>
    <row r="107" spans="2:5" ht="12.75">
      <c r="B107" s="115" t="s">
        <v>207</v>
      </c>
      <c r="C107" s="18">
        <v>7657.21</v>
      </c>
      <c r="D107" s="18">
        <v>5724.64</v>
      </c>
      <c r="E107" s="45">
        <f t="shared" si="2"/>
        <v>-1932.5699999999997</v>
      </c>
    </row>
    <row r="108" spans="2:5" ht="13.5" thickBot="1">
      <c r="B108" s="157" t="s">
        <v>304</v>
      </c>
      <c r="C108" s="215">
        <v>18880</v>
      </c>
      <c r="D108" s="215">
        <v>18880</v>
      </c>
      <c r="E108" s="46">
        <f t="shared" si="2"/>
        <v>0</v>
      </c>
    </row>
    <row r="109" spans="2:5" ht="13.5" thickBot="1">
      <c r="B109" s="124"/>
      <c r="C109" s="252">
        <f>SUM(C103:C108)</f>
        <v>507514.10000000003</v>
      </c>
      <c r="D109" s="252">
        <f>SUM(D103:D108)</f>
        <v>526795.9000000001</v>
      </c>
      <c r="E109" s="119">
        <f>SUM(E103:E108)</f>
        <v>19281.800000000017</v>
      </c>
    </row>
    <row r="110" spans="2:5" ht="13.5" thickBot="1">
      <c r="B110" s="363" t="s">
        <v>412</v>
      </c>
      <c r="C110" s="364"/>
      <c r="D110" s="364"/>
      <c r="E110" s="365"/>
    </row>
    <row r="111" spans="2:5" ht="12.75">
      <c r="B111" s="140" t="s">
        <v>285</v>
      </c>
      <c r="C111" s="212">
        <v>319885.31</v>
      </c>
      <c r="D111" s="223">
        <v>335539.08</v>
      </c>
      <c r="E111" s="253">
        <f>D111-C111</f>
        <v>15653.770000000019</v>
      </c>
    </row>
    <row r="112" spans="2:5" ht="12.75">
      <c r="B112" s="115" t="s">
        <v>637</v>
      </c>
      <c r="C112" s="18">
        <v>141690.81</v>
      </c>
      <c r="D112" s="18">
        <v>149211.79</v>
      </c>
      <c r="E112" s="53">
        <f>D112-C112</f>
        <v>7520.9800000000105</v>
      </c>
    </row>
    <row r="113" spans="2:5" ht="12.75">
      <c r="B113" s="115" t="s">
        <v>408</v>
      </c>
      <c r="C113" s="18">
        <v>54502.74</v>
      </c>
      <c r="D113" s="18">
        <v>56633.5</v>
      </c>
      <c r="E113" s="81">
        <f>D113-C113</f>
        <v>2130.760000000002</v>
      </c>
    </row>
    <row r="114" spans="2:5" ht="12.75">
      <c r="B114" s="115" t="s">
        <v>981</v>
      </c>
      <c r="C114" s="28">
        <v>27000</v>
      </c>
      <c r="D114" s="28">
        <v>38077.92</v>
      </c>
      <c r="E114" s="53">
        <f>D114-C114</f>
        <v>11077.919999999998</v>
      </c>
    </row>
    <row r="115" spans="2:5" ht="13.5" thickBot="1">
      <c r="B115" s="157" t="s">
        <v>1053</v>
      </c>
      <c r="C115" s="263">
        <v>12551</v>
      </c>
      <c r="D115" s="263">
        <v>12551</v>
      </c>
      <c r="E115" s="262">
        <f>D115-C115</f>
        <v>0</v>
      </c>
    </row>
    <row r="116" spans="2:5" ht="13.5" thickBot="1">
      <c r="B116" s="187"/>
      <c r="C116" s="254">
        <f>SUM(C111:C115)</f>
        <v>555629.86</v>
      </c>
      <c r="D116" s="255">
        <f>SUM(D111:D115)</f>
        <v>592013.29</v>
      </c>
      <c r="E116" s="256">
        <f>SUM(E111:E115)</f>
        <v>36383.43000000003</v>
      </c>
    </row>
    <row r="117" spans="2:5" ht="13.5" thickBot="1">
      <c r="B117" s="363" t="s">
        <v>6</v>
      </c>
      <c r="C117" s="364"/>
      <c r="D117" s="364"/>
      <c r="E117" s="365"/>
    </row>
    <row r="118" spans="2:5" ht="12.75">
      <c r="B118" s="140" t="s">
        <v>285</v>
      </c>
      <c r="C118" s="212">
        <v>356446.7</v>
      </c>
      <c r="D118" s="223">
        <v>349280.65</v>
      </c>
      <c r="E118" s="253">
        <f>D118-C118</f>
        <v>-7166.049999999988</v>
      </c>
    </row>
    <row r="119" spans="2:5" ht="12.75">
      <c r="B119" s="115" t="s">
        <v>637</v>
      </c>
      <c r="C119" s="18">
        <v>163185.98</v>
      </c>
      <c r="D119" s="18">
        <v>161706.2</v>
      </c>
      <c r="E119" s="53">
        <f>D119-C119</f>
        <v>-1479.7799999999988</v>
      </c>
    </row>
    <row r="120" spans="2:5" ht="12.75">
      <c r="B120" s="115" t="s">
        <v>408</v>
      </c>
      <c r="C120" s="18">
        <v>59299.6</v>
      </c>
      <c r="D120" s="18">
        <v>59358.95</v>
      </c>
      <c r="E120" s="81">
        <f>D120-C120</f>
        <v>59.349999999998545</v>
      </c>
    </row>
    <row r="121" spans="2:5" ht="12.75">
      <c r="B121" s="115" t="s">
        <v>805</v>
      </c>
      <c r="C121" s="28">
        <v>31889.92</v>
      </c>
      <c r="D121" s="28">
        <v>35102.66</v>
      </c>
      <c r="E121" s="53">
        <f>D121-C121</f>
        <v>3212.7400000000052</v>
      </c>
    </row>
    <row r="122" spans="2:5" ht="13.5" thickBot="1">
      <c r="B122" s="157" t="s">
        <v>1200</v>
      </c>
      <c r="C122" s="224">
        <v>10576.35</v>
      </c>
      <c r="D122" s="224">
        <v>10576.35</v>
      </c>
      <c r="E122" s="262">
        <f>D122-C122</f>
        <v>0</v>
      </c>
    </row>
    <row r="123" spans="2:5" ht="13.5" thickBot="1">
      <c r="B123" s="187"/>
      <c r="C123" s="254">
        <f>SUM(C118:C122)</f>
        <v>621398.55</v>
      </c>
      <c r="D123" s="255">
        <f>SUM(D118:D122)</f>
        <v>616024.81</v>
      </c>
      <c r="E123" s="256">
        <f>SUM(E118:E122)</f>
        <v>-5373.739999999983</v>
      </c>
    </row>
    <row r="124" spans="2:5" ht="13.5" thickBot="1">
      <c r="B124" s="363" t="s">
        <v>821</v>
      </c>
      <c r="C124" s="364"/>
      <c r="D124" s="364"/>
      <c r="E124" s="365"/>
    </row>
    <row r="125" spans="2:5" ht="12.75">
      <c r="B125" s="140" t="s">
        <v>285</v>
      </c>
      <c r="C125" s="234">
        <v>222689.54</v>
      </c>
      <c r="D125" s="218">
        <v>214969.21</v>
      </c>
      <c r="E125" s="253">
        <f aca="true" t="shared" si="3" ref="E125:E130">D125-C125</f>
        <v>-7720.330000000016</v>
      </c>
    </row>
    <row r="126" spans="2:5" ht="12.75">
      <c r="B126" s="115" t="s">
        <v>637</v>
      </c>
      <c r="C126" s="10">
        <v>108253.35</v>
      </c>
      <c r="D126" s="99">
        <v>104420.47</v>
      </c>
      <c r="E126" s="53">
        <f t="shared" si="3"/>
        <v>-3832.8800000000047</v>
      </c>
    </row>
    <row r="127" spans="2:5" ht="12.75">
      <c r="B127" s="220" t="s">
        <v>633</v>
      </c>
      <c r="C127" s="125">
        <v>39251.9</v>
      </c>
      <c r="D127" s="125">
        <v>37176.79</v>
      </c>
      <c r="E127" s="81">
        <f t="shared" si="3"/>
        <v>-2075.1100000000006</v>
      </c>
    </row>
    <row r="128" spans="2:5" ht="12.75">
      <c r="B128" s="269" t="s">
        <v>415</v>
      </c>
      <c r="C128" s="107">
        <v>0</v>
      </c>
      <c r="D128" s="107">
        <v>313.98</v>
      </c>
      <c r="E128" s="81">
        <f t="shared" si="3"/>
        <v>313.98</v>
      </c>
    </row>
    <row r="129" spans="2:5" ht="12.75">
      <c r="B129" s="269" t="s">
        <v>1061</v>
      </c>
      <c r="C129" s="107">
        <v>600</v>
      </c>
      <c r="D129" s="107">
        <v>800</v>
      </c>
      <c r="E129" s="81">
        <f t="shared" si="3"/>
        <v>200</v>
      </c>
    </row>
    <row r="130" spans="2:5" ht="13.5" thickBot="1">
      <c r="B130" s="157" t="s">
        <v>232</v>
      </c>
      <c r="C130" s="142">
        <v>6425.48</v>
      </c>
      <c r="D130" s="142">
        <v>22489.18</v>
      </c>
      <c r="E130" s="85">
        <f t="shared" si="3"/>
        <v>16063.7</v>
      </c>
    </row>
    <row r="131" spans="2:5" ht="13.5" thickBot="1">
      <c r="B131" s="187"/>
      <c r="C131" s="254">
        <f>SUM(C125:C130)</f>
        <v>377220.27</v>
      </c>
      <c r="D131" s="255">
        <f>SUM(D125:D130)</f>
        <v>380169.62999999995</v>
      </c>
      <c r="E131" s="256">
        <f>SUM(E125:E130)</f>
        <v>2949.3599999999788</v>
      </c>
    </row>
    <row r="132" spans="2:5" ht="13.5" thickBot="1">
      <c r="B132" s="363" t="s">
        <v>87</v>
      </c>
      <c r="C132" s="364"/>
      <c r="D132" s="364"/>
      <c r="E132" s="365"/>
    </row>
    <row r="133" spans="2:5" ht="12.75">
      <c r="B133" s="140" t="s">
        <v>285</v>
      </c>
      <c r="C133" s="234">
        <v>383415.33</v>
      </c>
      <c r="D133" s="155">
        <v>389090.98</v>
      </c>
      <c r="E133" s="253">
        <f aca="true" t="shared" si="4" ref="E133:E139">D133-C133</f>
        <v>5675.649999999965</v>
      </c>
    </row>
    <row r="134" spans="2:5" ht="12.75">
      <c r="B134" s="115" t="s">
        <v>637</v>
      </c>
      <c r="C134" s="10">
        <v>186694.71</v>
      </c>
      <c r="D134" s="34">
        <f>189787.59+0.21</f>
        <v>189787.8</v>
      </c>
      <c r="E134" s="53">
        <f t="shared" si="4"/>
        <v>3093.0899999999965</v>
      </c>
    </row>
    <row r="135" spans="2:5" ht="12.75">
      <c r="B135" s="115" t="s">
        <v>633</v>
      </c>
      <c r="C135" s="67">
        <v>67417.31</v>
      </c>
      <c r="D135" s="83">
        <v>68277.44</v>
      </c>
      <c r="E135" s="53">
        <f t="shared" si="4"/>
        <v>860.1300000000047</v>
      </c>
    </row>
    <row r="136" spans="2:5" ht="12.75">
      <c r="B136" s="116" t="s">
        <v>364</v>
      </c>
      <c r="C136" s="94">
        <v>6880.74</v>
      </c>
      <c r="D136" s="83">
        <v>10215.99</v>
      </c>
      <c r="E136" s="53">
        <f t="shared" si="4"/>
        <v>3335.25</v>
      </c>
    </row>
    <row r="137" spans="2:5" ht="12.75">
      <c r="B137" s="352" t="s">
        <v>1210</v>
      </c>
      <c r="C137" s="258">
        <v>35177.83</v>
      </c>
      <c r="D137" s="258">
        <v>51072.87</v>
      </c>
      <c r="E137" s="53">
        <f t="shared" si="4"/>
        <v>15895.04</v>
      </c>
    </row>
    <row r="138" spans="2:5" ht="12.75">
      <c r="B138" s="116" t="s">
        <v>29</v>
      </c>
      <c r="C138" s="94">
        <f>2400</f>
        <v>2400</v>
      </c>
      <c r="D138" s="83">
        <f>2400</f>
        <v>2400</v>
      </c>
      <c r="E138" s="53">
        <f t="shared" si="4"/>
        <v>0</v>
      </c>
    </row>
    <row r="139" spans="2:5" ht="13.5" thickBot="1">
      <c r="B139" s="157" t="s">
        <v>805</v>
      </c>
      <c r="C139" s="225">
        <v>65114.6</v>
      </c>
      <c r="D139" s="226">
        <v>45838.16</v>
      </c>
      <c r="E139" s="85">
        <f t="shared" si="4"/>
        <v>-19276.439999999995</v>
      </c>
    </row>
    <row r="140" spans="2:5" ht="13.5" thickBot="1">
      <c r="B140" s="177"/>
      <c r="C140" s="217">
        <f>SUM(C133:C139)</f>
        <v>747100.52</v>
      </c>
      <c r="D140" s="217">
        <f>SUM(D133:D139)</f>
        <v>756683.24</v>
      </c>
      <c r="E140" s="353">
        <f>SUM(E133:E139)</f>
        <v>9582.719999999972</v>
      </c>
    </row>
    <row r="141" spans="2:5" ht="13.5" thickBot="1">
      <c r="B141" s="366" t="s">
        <v>379</v>
      </c>
      <c r="C141" s="367"/>
      <c r="D141" s="367"/>
      <c r="E141" s="368"/>
    </row>
    <row r="142" spans="2:5" ht="13.5" thickBot="1">
      <c r="B142" s="153"/>
      <c r="C142" s="117">
        <f>C109+C116+C101+C93+C123+C131+C140</f>
        <v>3676612.2600000002</v>
      </c>
      <c r="D142" s="117">
        <f>D109+D116+D101+D93+D123+D131+D140</f>
        <v>3769126.6800000006</v>
      </c>
      <c r="E142" s="117">
        <f>E109+E116+E101+E93+E123+E131+E140</f>
        <v>92514.42000000001</v>
      </c>
    </row>
  </sheetData>
  <sheetProtection/>
  <mergeCells count="25">
    <mergeCell ref="A6:E6"/>
    <mergeCell ref="A20:D20"/>
    <mergeCell ref="A21:D21"/>
    <mergeCell ref="D25:E25"/>
    <mergeCell ref="A2:B2"/>
    <mergeCell ref="C2:E2"/>
    <mergeCell ref="C3:E3"/>
    <mergeCell ref="B4:E4"/>
    <mergeCell ref="D82:E82"/>
    <mergeCell ref="D83:E83"/>
    <mergeCell ref="D84:E84"/>
    <mergeCell ref="D85:E85"/>
    <mergeCell ref="D78:E78"/>
    <mergeCell ref="D79:E79"/>
    <mergeCell ref="D80:E80"/>
    <mergeCell ref="D81:E81"/>
    <mergeCell ref="B110:E110"/>
    <mergeCell ref="B117:E117"/>
    <mergeCell ref="B124:E124"/>
    <mergeCell ref="B141:E141"/>
    <mergeCell ref="B132:E132"/>
    <mergeCell ref="D86:E86"/>
    <mergeCell ref="B89:E89"/>
    <mergeCell ref="B94:E94"/>
    <mergeCell ref="B102:E102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875" style="0" customWidth="1"/>
    <col min="2" max="2" width="55.375" style="0" customWidth="1"/>
    <col min="3" max="3" width="11.625" style="0" customWidth="1"/>
    <col min="4" max="4" width="12.125" style="0" customWidth="1"/>
    <col min="5" max="5" width="15.00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6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865</v>
      </c>
      <c r="C7" s="26"/>
      <c r="D7" s="24"/>
    </row>
    <row r="8" spans="1:4" ht="15">
      <c r="A8" s="26"/>
      <c r="B8" s="27" t="s">
        <v>115</v>
      </c>
      <c r="C8" s="38">
        <v>6144</v>
      </c>
      <c r="D8" s="92" t="s">
        <v>116</v>
      </c>
    </row>
    <row r="9" spans="1:4" ht="15">
      <c r="A9" s="26"/>
      <c r="B9" s="27" t="s">
        <v>654</v>
      </c>
      <c r="C9" s="93">
        <v>448.2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720852.24</v>
      </c>
      <c r="D12" s="218">
        <v>752666.92</v>
      </c>
      <c r="E12" s="242">
        <f aca="true" t="shared" si="0" ref="E12:E19">D12-C12</f>
        <v>31814.68000000005</v>
      </c>
    </row>
    <row r="13" spans="1:5" ht="12.75">
      <c r="A13" s="84">
        <v>2</v>
      </c>
      <c r="B13" s="5" t="s">
        <v>637</v>
      </c>
      <c r="C13" s="10">
        <v>354921.81</v>
      </c>
      <c r="D13" s="98">
        <v>371598.36</v>
      </c>
      <c r="E13" s="57">
        <f t="shared" si="0"/>
        <v>16676.54999999999</v>
      </c>
    </row>
    <row r="14" spans="1:5" ht="12.75">
      <c r="A14" s="84">
        <v>3</v>
      </c>
      <c r="B14" s="5" t="s">
        <v>364</v>
      </c>
      <c r="C14" s="10">
        <v>21268.16</v>
      </c>
      <c r="D14" s="98">
        <v>24086.53</v>
      </c>
      <c r="E14" s="57">
        <f t="shared" si="0"/>
        <v>2818.369999999999</v>
      </c>
    </row>
    <row r="15" spans="1:5" ht="12.75">
      <c r="A15" s="84">
        <v>4</v>
      </c>
      <c r="B15" s="5" t="s">
        <v>633</v>
      </c>
      <c r="C15" s="10">
        <v>103988.24</v>
      </c>
      <c r="D15" s="98">
        <v>109161.74</v>
      </c>
      <c r="E15" s="57">
        <f t="shared" si="0"/>
        <v>5173.5</v>
      </c>
    </row>
    <row r="16" spans="1:5" ht="12.75">
      <c r="A16" s="84">
        <v>5</v>
      </c>
      <c r="B16" s="5" t="s">
        <v>1061</v>
      </c>
      <c r="C16" s="10">
        <f>3500+2400</f>
        <v>5900</v>
      </c>
      <c r="D16" s="98">
        <f>4200+2400</f>
        <v>6600</v>
      </c>
      <c r="E16" s="57">
        <f t="shared" si="0"/>
        <v>700</v>
      </c>
    </row>
    <row r="17" spans="1:5" ht="12.75">
      <c r="A17" s="84">
        <v>6</v>
      </c>
      <c r="B17" s="105" t="s">
        <v>393</v>
      </c>
      <c r="C17" s="10">
        <v>5217.28</v>
      </c>
      <c r="D17" s="98">
        <v>5014.14</v>
      </c>
      <c r="E17" s="57">
        <f t="shared" si="0"/>
        <v>-203.13999999999942</v>
      </c>
    </row>
    <row r="18" spans="1:5" ht="12.75">
      <c r="A18" s="84">
        <v>7</v>
      </c>
      <c r="B18" s="5" t="s">
        <v>805</v>
      </c>
      <c r="C18" s="125">
        <f>16990.54+3473.72+8011.85+9618.48+9618.48</f>
        <v>47713.06999999999</v>
      </c>
      <c r="D18" s="125">
        <f>11793.52+4342.15+5685.2+10183.5+10183.5</f>
        <v>42187.869999999995</v>
      </c>
      <c r="E18" s="57">
        <f t="shared" si="0"/>
        <v>-5525.199999999997</v>
      </c>
    </row>
    <row r="19" spans="1:5" ht="26.25" thickBot="1">
      <c r="A19" s="243">
        <v>8</v>
      </c>
      <c r="B19" s="244" t="s">
        <v>824</v>
      </c>
      <c r="C19" s="274">
        <v>1139.62</v>
      </c>
      <c r="D19" s="277">
        <v>1139.62</v>
      </c>
      <c r="E19" s="219">
        <f t="shared" si="0"/>
        <v>0</v>
      </c>
    </row>
    <row r="20" spans="1:5" ht="13.5" thickBot="1">
      <c r="A20" s="250"/>
      <c r="B20" s="251"/>
      <c r="C20" s="118">
        <f>SUM(C12:C19)</f>
        <v>1261000.4200000002</v>
      </c>
      <c r="D20" s="118">
        <f>SUM(D12:D19)</f>
        <v>1312455.1800000002</v>
      </c>
      <c r="E20" s="348">
        <f>SUM(E12:E19)</f>
        <v>51454.76000000004</v>
      </c>
    </row>
    <row r="21" spans="1:5" ht="12.75">
      <c r="A21" s="385" t="s">
        <v>793</v>
      </c>
      <c r="B21" s="386"/>
      <c r="C21" s="386"/>
      <c r="D21" s="386"/>
      <c r="E21" s="108">
        <f>E163</f>
        <v>111743.01000000015</v>
      </c>
    </row>
    <row r="22" spans="1:5" ht="12.75">
      <c r="A22" s="387" t="s">
        <v>794</v>
      </c>
      <c r="B22" s="384"/>
      <c r="C22" s="384"/>
      <c r="D22" s="384"/>
      <c r="E22" s="259">
        <v>306317.26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25.5">
      <c r="A25" s="86">
        <v>1</v>
      </c>
      <c r="B25" s="64" t="s">
        <v>882</v>
      </c>
      <c r="C25" s="80">
        <f>C63</f>
        <v>455310.97</v>
      </c>
      <c r="E25" s="29"/>
    </row>
    <row r="26" spans="1:5" ht="26.25" thickBot="1">
      <c r="A26" s="91">
        <v>2</v>
      </c>
      <c r="B26" s="25" t="s">
        <v>881</v>
      </c>
      <c r="C26" s="102">
        <f>C72</f>
        <v>26476.58</v>
      </c>
      <c r="D26" s="416" t="s">
        <v>666</v>
      </c>
      <c r="E26" s="417"/>
    </row>
    <row r="27" spans="1:5" ht="12.75">
      <c r="A27" s="84">
        <v>3</v>
      </c>
      <c r="B27" s="9" t="s">
        <v>649</v>
      </c>
      <c r="C27" s="354">
        <v>31055.46</v>
      </c>
      <c r="D27" s="358" t="s">
        <v>661</v>
      </c>
      <c r="E27" s="359"/>
    </row>
    <row r="28" spans="1:5" ht="12.75">
      <c r="A28" s="84">
        <v>4</v>
      </c>
      <c r="B28" s="9" t="s">
        <v>122</v>
      </c>
      <c r="C28" s="354">
        <f>(C8*0.55*12)</f>
        <v>40550.4</v>
      </c>
      <c r="D28" s="360" t="s">
        <v>662</v>
      </c>
      <c r="E28" s="361"/>
    </row>
    <row r="29" spans="1:5" ht="12.75">
      <c r="A29" s="84">
        <v>5</v>
      </c>
      <c r="B29" s="9" t="s">
        <v>658</v>
      </c>
      <c r="C29" s="355">
        <v>93133.56</v>
      </c>
      <c r="D29" s="360" t="s">
        <v>663</v>
      </c>
      <c r="E29" s="361"/>
    </row>
    <row r="30" spans="1:5" ht="12.75">
      <c r="A30" s="91">
        <v>6</v>
      </c>
      <c r="B30" s="25" t="s">
        <v>61</v>
      </c>
      <c r="C30" s="356">
        <v>4800</v>
      </c>
      <c r="D30" s="412" t="s">
        <v>664</v>
      </c>
      <c r="E30" s="413"/>
    </row>
    <row r="31" spans="1:5" ht="12.75">
      <c r="A31" s="91">
        <v>7</v>
      </c>
      <c r="B31" s="25" t="s">
        <v>864</v>
      </c>
      <c r="C31" s="356">
        <v>2178</v>
      </c>
      <c r="D31" s="412"/>
      <c r="E31" s="413"/>
    </row>
    <row r="32" spans="1:5" ht="26.25" thickBot="1">
      <c r="A32" s="91">
        <v>8</v>
      </c>
      <c r="B32" s="25" t="s">
        <v>877</v>
      </c>
      <c r="C32" s="356">
        <v>591.8</v>
      </c>
      <c r="D32" s="414" t="s">
        <v>665</v>
      </c>
      <c r="E32" s="415"/>
    </row>
    <row r="33" spans="1:5" ht="25.5">
      <c r="A33" s="91">
        <v>9</v>
      </c>
      <c r="B33" s="25" t="s">
        <v>60</v>
      </c>
      <c r="C33" s="96">
        <v>21400</v>
      </c>
      <c r="E33" s="29"/>
    </row>
    <row r="34" spans="1:5" ht="12.75">
      <c r="A34" s="91">
        <v>10</v>
      </c>
      <c r="B34" s="25" t="s">
        <v>363</v>
      </c>
      <c r="C34" s="96">
        <v>138.87</v>
      </c>
      <c r="E34" s="29"/>
    </row>
    <row r="35" spans="1:5" ht="12.75">
      <c r="A35" s="91">
        <v>11</v>
      </c>
      <c r="B35" s="25" t="s">
        <v>117</v>
      </c>
      <c r="C35" s="349">
        <v>22722</v>
      </c>
      <c r="E35" s="29"/>
    </row>
    <row r="36" spans="1:3" ht="12.75">
      <c r="A36" s="50"/>
      <c r="B36" s="20" t="s">
        <v>629</v>
      </c>
      <c r="C36" s="51">
        <f>SUM(C25:C35)</f>
        <v>698357.64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(C20)*15%</f>
        <v>189150.06300000002</v>
      </c>
    </row>
    <row r="39" spans="1:3" ht="12.75">
      <c r="A39" s="84">
        <v>2</v>
      </c>
      <c r="B39" s="9" t="s">
        <v>813</v>
      </c>
      <c r="C39" s="48">
        <f>C79</f>
        <v>13307.018062312141</v>
      </c>
    </row>
    <row r="40" spans="1:3" ht="12.75">
      <c r="A40" s="84">
        <v>3</v>
      </c>
      <c r="B40" s="9" t="s">
        <v>653</v>
      </c>
      <c r="C40" s="48">
        <f>C80</f>
        <v>14453.393367697296</v>
      </c>
    </row>
    <row r="41" spans="1:3" ht="12.75">
      <c r="A41" s="84">
        <v>4</v>
      </c>
      <c r="B41" s="9" t="s">
        <v>1114</v>
      </c>
      <c r="C41" s="52">
        <f>C81</f>
        <v>29340.966417324744</v>
      </c>
    </row>
    <row r="42" spans="1:3" ht="12.75">
      <c r="A42" s="84">
        <v>5</v>
      </c>
      <c r="B42" s="9" t="s">
        <v>162</v>
      </c>
      <c r="C42" s="52">
        <f>C82</f>
        <v>23003.017139741303</v>
      </c>
    </row>
    <row r="43" spans="1:3" ht="12.75">
      <c r="A43" s="84">
        <v>6</v>
      </c>
      <c r="B43" s="9" t="s">
        <v>1051</v>
      </c>
      <c r="C43" s="48">
        <f>C83+C85+C86+C87+C84</f>
        <v>39036.02283904972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308290.48082612525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C20*2%</f>
        <v>25220.008400000002</v>
      </c>
    </row>
    <row r="51" spans="1:3" ht="12.75">
      <c r="A51" s="84">
        <v>2</v>
      </c>
      <c r="B51" s="9" t="s">
        <v>391</v>
      </c>
      <c r="C51" s="48">
        <f>C52</f>
        <v>74146.82469600001</v>
      </c>
    </row>
    <row r="52" spans="1:4" ht="12.75">
      <c r="A52" s="49"/>
      <c r="B52" s="5" t="s">
        <v>334</v>
      </c>
      <c r="C52" s="41">
        <f>(C20-C50)*6%</f>
        <v>74146.82469600001</v>
      </c>
      <c r="D52" s="19"/>
    </row>
    <row r="53" spans="1:3" ht="13.5" thickBot="1">
      <c r="A53" s="54"/>
      <c r="B53" s="55" t="s">
        <v>967</v>
      </c>
      <c r="C53" s="56">
        <f>C50+C51</f>
        <v>99366.83309600002</v>
      </c>
    </row>
    <row r="54" spans="1:3" ht="12.75">
      <c r="A54" s="23"/>
      <c r="B54" s="4" t="s">
        <v>288</v>
      </c>
      <c r="C54" s="11">
        <f>C36+C48+C53</f>
        <v>1106014.9539221253</v>
      </c>
    </row>
    <row r="55" spans="1:3" ht="12.75">
      <c r="A55" s="23"/>
      <c r="B55" s="77"/>
      <c r="C55" s="1"/>
    </row>
    <row r="56" spans="1:3" ht="15">
      <c r="A56" s="23"/>
      <c r="B56" s="14" t="s">
        <v>449</v>
      </c>
      <c r="C56" s="11">
        <v>244568.9</v>
      </c>
    </row>
    <row r="57" spans="1:3" ht="15">
      <c r="A57" s="23"/>
      <c r="B57" s="14" t="s">
        <v>883</v>
      </c>
      <c r="C57" s="11">
        <f>C20+C56-C54</f>
        <v>399554.3660778748</v>
      </c>
    </row>
    <row r="58" ht="12.75">
      <c r="B58" s="1" t="s">
        <v>85</v>
      </c>
    </row>
    <row r="59" ht="18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866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6592.2</v>
      </c>
      <c r="E62" t="s">
        <v>116</v>
      </c>
    </row>
    <row r="63" spans="1:5" ht="12.75">
      <c r="A63" s="60" t="s">
        <v>218</v>
      </c>
      <c r="B63" s="39" t="s">
        <v>832</v>
      </c>
      <c r="C63" s="47">
        <v>455310.97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5510.9</v>
      </c>
      <c r="D65" s="15"/>
      <c r="E65" s="15"/>
    </row>
    <row r="66" spans="1:5" ht="12.75">
      <c r="A66" s="62" t="s">
        <v>166</v>
      </c>
      <c r="B66" s="6" t="s">
        <v>371</v>
      </c>
      <c r="C66" s="41">
        <v>22860.41</v>
      </c>
      <c r="D66" s="15"/>
      <c r="E66" s="15"/>
    </row>
    <row r="67" spans="1:5" ht="12.75">
      <c r="A67" s="62" t="s">
        <v>166</v>
      </c>
      <c r="B67" s="6" t="s">
        <v>878</v>
      </c>
      <c r="C67" s="41">
        <v>20432.28</v>
      </c>
      <c r="D67" s="15"/>
      <c r="E67" s="15"/>
    </row>
    <row r="68" spans="1:5" ht="12.75">
      <c r="A68" s="62" t="s">
        <v>166</v>
      </c>
      <c r="B68" s="6" t="s">
        <v>879</v>
      </c>
      <c r="C68" s="41">
        <v>37266.91</v>
      </c>
      <c r="D68" s="15"/>
      <c r="E68" s="15"/>
    </row>
    <row r="69" spans="1:5" ht="12.75">
      <c r="A69" s="62" t="s">
        <v>166</v>
      </c>
      <c r="B69" s="6" t="s">
        <v>121</v>
      </c>
      <c r="C69" s="41">
        <v>59910.99</v>
      </c>
      <c r="D69" s="15"/>
      <c r="E69" s="15"/>
    </row>
    <row r="70" spans="1:5" ht="12.75">
      <c r="A70" s="62" t="s">
        <v>166</v>
      </c>
      <c r="B70" s="6" t="s">
        <v>880</v>
      </c>
      <c r="C70" s="41">
        <v>2200</v>
      </c>
      <c r="D70" s="15"/>
      <c r="E70" s="15"/>
    </row>
    <row r="71" spans="1:5" ht="13.5" thickBot="1">
      <c r="A71" s="63" t="s">
        <v>166</v>
      </c>
      <c r="B71" s="42" t="s">
        <v>818</v>
      </c>
      <c r="C71" s="43">
        <v>1493.69</v>
      </c>
      <c r="D71" s="15"/>
      <c r="E71" s="15"/>
    </row>
    <row r="72" spans="1:5" ht="12.75">
      <c r="A72" s="300" t="s">
        <v>328</v>
      </c>
      <c r="B72" s="97" t="s">
        <v>343</v>
      </c>
      <c r="C72" s="82">
        <v>26476.58</v>
      </c>
      <c r="D72" s="15"/>
      <c r="E72" s="12"/>
    </row>
    <row r="73" spans="1:5" ht="12.75">
      <c r="A73" s="61"/>
      <c r="B73" s="6" t="s">
        <v>118</v>
      </c>
      <c r="C73" s="41"/>
      <c r="D73" s="15"/>
      <c r="E73" s="12"/>
    </row>
    <row r="74" spans="1:5" ht="12.75">
      <c r="A74" s="62" t="s">
        <v>166</v>
      </c>
      <c r="B74" s="6" t="s">
        <v>380</v>
      </c>
      <c r="C74" s="41">
        <v>2108</v>
      </c>
      <c r="D74" s="15"/>
      <c r="E74" s="12"/>
    </row>
    <row r="75" spans="1:5" ht="12.75">
      <c r="A75" s="62" t="s">
        <v>166</v>
      </c>
      <c r="B75" s="6" t="s">
        <v>876</v>
      </c>
      <c r="C75" s="41">
        <v>4095</v>
      </c>
      <c r="D75" s="15"/>
      <c r="E75" s="12"/>
    </row>
    <row r="76" spans="1:5" ht="13.5" thickBot="1">
      <c r="A76" s="63" t="s">
        <v>166</v>
      </c>
      <c r="B76" s="42" t="s">
        <v>818</v>
      </c>
      <c r="C76" s="46">
        <v>351.31</v>
      </c>
      <c r="D76" s="15"/>
      <c r="E76" s="15"/>
    </row>
    <row r="77" spans="1:5" ht="12.75">
      <c r="A77" s="300" t="s">
        <v>787</v>
      </c>
      <c r="B77" s="97" t="s">
        <v>1050</v>
      </c>
      <c r="C77" s="82">
        <f>C78+C79+C81+C80+C82+C83+C85+C86+C87+C84</f>
        <v>308290.48082612525</v>
      </c>
      <c r="D77" s="15"/>
      <c r="E77" s="12"/>
    </row>
    <row r="78" spans="1:5" ht="13.5" thickBot="1">
      <c r="A78" s="40" t="s">
        <v>166</v>
      </c>
      <c r="B78" s="6" t="s">
        <v>227</v>
      </c>
      <c r="C78" s="41">
        <f>C38</f>
        <v>189150.06300000002</v>
      </c>
      <c r="D78" s="15"/>
      <c r="E78" s="12"/>
    </row>
    <row r="79" spans="1:5" ht="12.75">
      <c r="A79" s="40" t="s">
        <v>166</v>
      </c>
      <c r="B79" s="6" t="s">
        <v>370</v>
      </c>
      <c r="C79" s="317">
        <f>401410.25/185335.63*C8</f>
        <v>13307.018062312141</v>
      </c>
      <c r="D79" s="375" t="s">
        <v>867</v>
      </c>
      <c r="E79" s="376"/>
    </row>
    <row r="80" spans="1:5" ht="12.75">
      <c r="A80" s="73" t="s">
        <v>166</v>
      </c>
      <c r="B80" s="74" t="s">
        <v>397</v>
      </c>
      <c r="C80" s="317">
        <f>435991.01/185335.63*C8</f>
        <v>14453.393367697296</v>
      </c>
      <c r="D80" s="377" t="s">
        <v>868</v>
      </c>
      <c r="E80" s="378"/>
    </row>
    <row r="81" spans="1:5" ht="12.75">
      <c r="A81" s="71" t="s">
        <v>166</v>
      </c>
      <c r="B81" s="72" t="s">
        <v>416</v>
      </c>
      <c r="C81" s="317">
        <f>1082167/226605.83*C8</f>
        <v>29340.966417324744</v>
      </c>
      <c r="D81" s="379" t="s">
        <v>869</v>
      </c>
      <c r="E81" s="380"/>
    </row>
    <row r="82" spans="1:5" ht="25.5">
      <c r="A82" s="73" t="s">
        <v>166</v>
      </c>
      <c r="B82" s="72" t="s">
        <v>231</v>
      </c>
      <c r="C82" s="318">
        <f>845684.35/242356.05*D62</f>
        <v>23003.017139741303</v>
      </c>
      <c r="D82" s="381" t="s">
        <v>870</v>
      </c>
      <c r="E82" s="382"/>
    </row>
    <row r="83" spans="1:5" ht="12.75">
      <c r="A83" s="73" t="s">
        <v>166</v>
      </c>
      <c r="B83" s="74" t="s">
        <v>808</v>
      </c>
      <c r="C83" s="318">
        <f>642562.44/242356.05*D62</f>
        <v>17478.00443590329</v>
      </c>
      <c r="D83" s="371" t="s">
        <v>871</v>
      </c>
      <c r="E83" s="372"/>
    </row>
    <row r="84" spans="1:5" ht="12.75">
      <c r="A84" s="73" t="s">
        <v>166</v>
      </c>
      <c r="B84" s="74" t="s">
        <v>826</v>
      </c>
      <c r="C84" s="318">
        <f>51615/196822.43*D62</f>
        <v>1728.7481055893884</v>
      </c>
      <c r="D84" s="371" t="s">
        <v>872</v>
      </c>
      <c r="E84" s="372"/>
    </row>
    <row r="85" spans="1:5" ht="12.75">
      <c r="A85" s="73" t="s">
        <v>166</v>
      </c>
      <c r="B85" s="74" t="s">
        <v>655</v>
      </c>
      <c r="C85" s="318">
        <f>129011.28/196822.43*D62</f>
        <v>4320.992074002947</v>
      </c>
      <c r="D85" s="371" t="s">
        <v>873</v>
      </c>
      <c r="E85" s="372"/>
    </row>
    <row r="86" spans="1:5" ht="12.75">
      <c r="A86" s="73" t="s">
        <v>166</v>
      </c>
      <c r="B86" s="74" t="s">
        <v>656</v>
      </c>
      <c r="C86" s="318">
        <f>164128/196822.43*D62</f>
        <v>5497.161078643323</v>
      </c>
      <c r="D86" s="373" t="s">
        <v>874</v>
      </c>
      <c r="E86" s="374"/>
    </row>
    <row r="87" spans="1:5" ht="13.5" thickBot="1">
      <c r="A87" s="75" t="s">
        <v>166</v>
      </c>
      <c r="B87" s="76" t="s">
        <v>809</v>
      </c>
      <c r="C87" s="319">
        <f>298900.58/196822.43*D62</f>
        <v>10011.11714491077</v>
      </c>
      <c r="D87" s="369" t="s">
        <v>875</v>
      </c>
      <c r="E87" s="370"/>
    </row>
    <row r="88" ht="13.5" thickBot="1"/>
    <row r="89" spans="2:5" ht="26.25" thickBot="1">
      <c r="B89" s="143"/>
      <c r="C89" s="159" t="s">
        <v>104</v>
      </c>
      <c r="D89" s="161" t="s">
        <v>306</v>
      </c>
      <c r="E89" s="160" t="s">
        <v>1115</v>
      </c>
    </row>
    <row r="90" spans="2:5" ht="13.5" thickBot="1">
      <c r="B90" s="363" t="s">
        <v>971</v>
      </c>
      <c r="C90" s="364"/>
      <c r="D90" s="364"/>
      <c r="E90" s="365"/>
    </row>
    <row r="91" spans="2:5" ht="12.75">
      <c r="B91" s="140" t="s">
        <v>285</v>
      </c>
      <c r="C91" s="141">
        <v>391546.19</v>
      </c>
      <c r="D91" s="212">
        <v>434995.2</v>
      </c>
      <c r="E91" s="213">
        <f aca="true" t="shared" si="1" ref="E91:E96">D91-C91</f>
        <v>43449.01000000001</v>
      </c>
    </row>
    <row r="92" spans="2:5" ht="12.75">
      <c r="B92" s="115" t="s">
        <v>637</v>
      </c>
      <c r="C92" s="5">
        <v>233328.85</v>
      </c>
      <c r="D92" s="18">
        <v>260259.84</v>
      </c>
      <c r="E92" s="214">
        <f t="shared" si="1"/>
        <v>26930.98999999999</v>
      </c>
    </row>
    <row r="93" spans="2:5" ht="12.75">
      <c r="B93" s="115" t="s">
        <v>981</v>
      </c>
      <c r="C93" s="5">
        <v>19024.58</v>
      </c>
      <c r="D93" s="18">
        <v>25503.34</v>
      </c>
      <c r="E93" s="214">
        <f t="shared" si="1"/>
        <v>6478.759999999998</v>
      </c>
    </row>
    <row r="94" spans="2:5" ht="12.75">
      <c r="B94" s="115" t="s">
        <v>1111</v>
      </c>
      <c r="C94" s="5">
        <v>134867.36</v>
      </c>
      <c r="D94" s="18">
        <v>139535.54</v>
      </c>
      <c r="E94" s="214">
        <f t="shared" si="1"/>
        <v>4668.180000000022</v>
      </c>
    </row>
    <row r="95" spans="2:5" ht="12.75">
      <c r="B95" s="115" t="s">
        <v>978</v>
      </c>
      <c r="C95" s="5">
        <v>15732.58</v>
      </c>
      <c r="D95" s="18">
        <v>15732.58</v>
      </c>
      <c r="E95" s="214">
        <f t="shared" si="1"/>
        <v>0</v>
      </c>
    </row>
    <row r="96" spans="2:5" ht="13.5" thickBot="1">
      <c r="B96" s="157" t="s">
        <v>633</v>
      </c>
      <c r="C96" s="95">
        <v>27090.94</v>
      </c>
      <c r="D96" s="215">
        <v>30510.47</v>
      </c>
      <c r="E96" s="216">
        <f t="shared" si="1"/>
        <v>3419.5300000000025</v>
      </c>
    </row>
    <row r="97" spans="2:5" ht="13.5" thickBot="1">
      <c r="B97" s="177"/>
      <c r="C97" s="179">
        <f>SUM(C91:C96)</f>
        <v>821590.4999999999</v>
      </c>
      <c r="D97" s="179">
        <f>SUM(D91:D96)</f>
        <v>906536.97</v>
      </c>
      <c r="E97" s="179">
        <f>SUM(E91:E96)</f>
        <v>84946.47000000002</v>
      </c>
    </row>
    <row r="98" spans="2:5" ht="13.5" thickBot="1">
      <c r="B98" s="363" t="s">
        <v>301</v>
      </c>
      <c r="C98" s="364"/>
      <c r="D98" s="364"/>
      <c r="E98" s="365"/>
    </row>
    <row r="99" spans="2:5" ht="12.75">
      <c r="B99" s="140" t="s">
        <v>285</v>
      </c>
      <c r="C99" s="141">
        <v>217722.34</v>
      </c>
      <c r="D99" s="218">
        <v>217511.76</v>
      </c>
      <c r="E99" s="213">
        <f>D99-C99</f>
        <v>-210.5799999999872</v>
      </c>
    </row>
    <row r="100" spans="2:5" ht="12.75">
      <c r="B100" s="115" t="s">
        <v>637</v>
      </c>
      <c r="C100" s="5">
        <v>126304.75</v>
      </c>
      <c r="D100" s="99">
        <v>130138.39</v>
      </c>
      <c r="E100" s="214">
        <f>D100-C100</f>
        <v>3833.6399999999994</v>
      </c>
    </row>
    <row r="101" spans="2:5" ht="12.75">
      <c r="B101" s="115" t="s">
        <v>633</v>
      </c>
      <c r="C101" s="5">
        <v>27438.4</v>
      </c>
      <c r="D101" s="98">
        <v>22292.43</v>
      </c>
      <c r="E101" s="214">
        <f>D101-C101</f>
        <v>-5145.970000000001</v>
      </c>
    </row>
    <row r="102" spans="2:5" ht="12.75">
      <c r="B102" s="115" t="s">
        <v>232</v>
      </c>
      <c r="C102" s="5">
        <v>20838.69</v>
      </c>
      <c r="D102" s="5">
        <v>12751.62</v>
      </c>
      <c r="E102" s="214">
        <f>D102-C102</f>
        <v>-8087.069999999998</v>
      </c>
    </row>
    <row r="103" spans="2:5" ht="13.5" thickBot="1">
      <c r="B103" s="157" t="s">
        <v>1111</v>
      </c>
      <c r="C103" s="95">
        <v>4950.54</v>
      </c>
      <c r="D103" s="95">
        <v>0</v>
      </c>
      <c r="E103" s="216">
        <f>D103-C103</f>
        <v>-4950.54</v>
      </c>
    </row>
    <row r="104" spans="2:5" ht="13.5" thickBot="1">
      <c r="B104" s="177"/>
      <c r="C104" s="179">
        <f>SUM(C99:C103)</f>
        <v>397254.72</v>
      </c>
      <c r="D104" s="179">
        <f>SUM(D99:D103)</f>
        <v>382694.2</v>
      </c>
      <c r="E104" s="179">
        <f>SUM(E99:E103)</f>
        <v>-14560.519999999986</v>
      </c>
    </row>
    <row r="105" spans="2:5" ht="13.5" thickBot="1">
      <c r="B105" s="363" t="s">
        <v>300</v>
      </c>
      <c r="C105" s="364"/>
      <c r="D105" s="364"/>
      <c r="E105" s="365"/>
    </row>
    <row r="106" spans="2:5" ht="12.75">
      <c r="B106" s="140" t="s">
        <v>285</v>
      </c>
      <c r="C106" s="141">
        <v>217722.34</v>
      </c>
      <c r="D106" s="155">
        <v>228571.68</v>
      </c>
      <c r="E106" s="213">
        <f>D106-C106</f>
        <v>10849.339999999997</v>
      </c>
    </row>
    <row r="107" spans="2:5" ht="12.75">
      <c r="B107" s="115" t="s">
        <v>637</v>
      </c>
      <c r="C107" s="5">
        <v>126304.75</v>
      </c>
      <c r="D107" s="33">
        <v>131981.7</v>
      </c>
      <c r="E107" s="214">
        <f>D107-C107</f>
        <v>5676.950000000012</v>
      </c>
    </row>
    <row r="108" spans="2:5" ht="12.75">
      <c r="B108" s="115" t="s">
        <v>633</v>
      </c>
      <c r="C108" s="5">
        <v>27438.4</v>
      </c>
      <c r="D108" s="34">
        <v>29040.04</v>
      </c>
      <c r="E108" s="214">
        <f>D108-C108</f>
        <v>1601.6399999999994</v>
      </c>
    </row>
    <row r="109" spans="2:5" ht="13.5" thickBot="1">
      <c r="B109" s="157" t="s">
        <v>232</v>
      </c>
      <c r="C109" s="95">
        <v>20838.69</v>
      </c>
      <c r="D109" s="95">
        <v>14462.88</v>
      </c>
      <c r="E109" s="216">
        <f>D109-C109</f>
        <v>-6375.8099999999995</v>
      </c>
    </row>
    <row r="110" spans="2:5" ht="13.5" thickBot="1">
      <c r="B110" s="177"/>
      <c r="C110" s="179">
        <f>SUM(C106:C109)</f>
        <v>392304.18</v>
      </c>
      <c r="D110" s="297">
        <f>SUM(D106:D109)</f>
        <v>404056.3</v>
      </c>
      <c r="E110" s="179">
        <f>SUM(E106:E109)</f>
        <v>11752.120000000008</v>
      </c>
    </row>
    <row r="111" spans="2:5" ht="13.5" thickBot="1">
      <c r="B111" s="363" t="s">
        <v>804</v>
      </c>
      <c r="C111" s="364"/>
      <c r="D111" s="364"/>
      <c r="E111" s="365"/>
    </row>
    <row r="112" spans="2:5" ht="12.75">
      <c r="B112" s="140" t="s">
        <v>285</v>
      </c>
      <c r="C112" s="141">
        <v>522707.56</v>
      </c>
      <c r="D112" s="155">
        <v>549324.15</v>
      </c>
      <c r="E112" s="242">
        <f>D112-C112</f>
        <v>26616.590000000026</v>
      </c>
    </row>
    <row r="113" spans="2:5" ht="12.75">
      <c r="B113" s="115" t="s">
        <v>637</v>
      </c>
      <c r="C113" s="5">
        <v>268601.31</v>
      </c>
      <c r="D113" s="33">
        <v>287933.77</v>
      </c>
      <c r="E113" s="57">
        <f aca="true" t="shared" si="2" ref="E113:E119">D113-C113</f>
        <v>19332.46000000002</v>
      </c>
    </row>
    <row r="114" spans="2:5" ht="12.75">
      <c r="B114" s="115" t="s">
        <v>633</v>
      </c>
      <c r="C114" s="5">
        <v>70260.32</v>
      </c>
      <c r="D114" s="34">
        <v>75496.89</v>
      </c>
      <c r="E114" s="57">
        <f t="shared" si="2"/>
        <v>5236.569999999992</v>
      </c>
    </row>
    <row r="115" spans="2:5" ht="12.75">
      <c r="B115" s="116" t="s">
        <v>113</v>
      </c>
      <c r="C115" s="65">
        <v>29305.5</v>
      </c>
      <c r="D115" s="83">
        <v>33698.07</v>
      </c>
      <c r="E115" s="57">
        <f t="shared" si="2"/>
        <v>4392.57</v>
      </c>
    </row>
    <row r="116" spans="2:5" ht="12.75">
      <c r="B116" s="116" t="s">
        <v>278</v>
      </c>
      <c r="C116" s="65">
        <v>19935.39</v>
      </c>
      <c r="D116" s="83">
        <v>21383.3</v>
      </c>
      <c r="E116" s="57">
        <f t="shared" si="2"/>
        <v>1447.9099999999999</v>
      </c>
    </row>
    <row r="117" spans="2:5" ht="12.75">
      <c r="B117" s="116" t="s">
        <v>232</v>
      </c>
      <c r="C117" s="65">
        <v>34633.92</v>
      </c>
      <c r="D117" s="65">
        <v>34079.82</v>
      </c>
      <c r="E117" s="57">
        <f t="shared" si="2"/>
        <v>-554.0999999999985</v>
      </c>
    </row>
    <row r="118" spans="2:5" ht="12.75">
      <c r="B118" s="116" t="s">
        <v>657</v>
      </c>
      <c r="C118" s="65">
        <v>2046.88</v>
      </c>
      <c r="D118" s="65">
        <v>2046.88</v>
      </c>
      <c r="E118" s="57">
        <f t="shared" si="2"/>
        <v>0</v>
      </c>
    </row>
    <row r="119" spans="2:5" ht="13.5" thickBot="1">
      <c r="B119" s="157" t="s">
        <v>395</v>
      </c>
      <c r="C119" s="95">
        <v>10000</v>
      </c>
      <c r="D119" s="95">
        <v>10000</v>
      </c>
      <c r="E119" s="222">
        <f t="shared" si="2"/>
        <v>0</v>
      </c>
    </row>
    <row r="120" spans="2:5" ht="13.5" thickBot="1">
      <c r="B120" s="187"/>
      <c r="C120" s="188">
        <f>SUM(C112:C119)</f>
        <v>957490.88</v>
      </c>
      <c r="D120" s="217">
        <f>SUM(D112:D119)</f>
        <v>1013962.88</v>
      </c>
      <c r="E120" s="217">
        <f>SUM(E112:E119)</f>
        <v>56472.00000000004</v>
      </c>
    </row>
    <row r="121" spans="2:5" ht="13.5" thickBot="1">
      <c r="B121" s="363" t="s">
        <v>382</v>
      </c>
      <c r="C121" s="364"/>
      <c r="D121" s="364"/>
      <c r="E121" s="365"/>
    </row>
    <row r="122" spans="2:5" ht="12.75">
      <c r="B122" s="140" t="s">
        <v>285</v>
      </c>
      <c r="C122" s="141">
        <v>652938.54</v>
      </c>
      <c r="D122" s="218">
        <v>670945.05</v>
      </c>
      <c r="E122" s="294">
        <f>D122-C122</f>
        <v>18006.51000000001</v>
      </c>
    </row>
    <row r="123" spans="2:5" ht="12.75">
      <c r="B123" s="115" t="s">
        <v>637</v>
      </c>
      <c r="C123" s="5">
        <v>315702.77</v>
      </c>
      <c r="D123" s="99">
        <v>325518.96</v>
      </c>
      <c r="E123" s="128">
        <f>D123-C123</f>
        <v>9816.190000000002</v>
      </c>
    </row>
    <row r="124" spans="2:5" ht="12.75">
      <c r="B124" s="115" t="s">
        <v>633</v>
      </c>
      <c r="C124" s="5">
        <v>88572.81</v>
      </c>
      <c r="D124" s="98">
        <v>90161.31</v>
      </c>
      <c r="E124" s="128">
        <f>D124-C124</f>
        <v>1588.5</v>
      </c>
    </row>
    <row r="125" spans="2:5" ht="12.75">
      <c r="B125" s="115" t="s">
        <v>113</v>
      </c>
      <c r="C125" s="5">
        <v>41050.89</v>
      </c>
      <c r="D125" s="98">
        <v>30729.04</v>
      </c>
      <c r="E125" s="128">
        <f aca="true" t="shared" si="3" ref="E125:E130">D125-C125</f>
        <v>-10321.849999999999</v>
      </c>
    </row>
    <row r="126" spans="2:5" ht="12.75">
      <c r="B126" s="115" t="s">
        <v>278</v>
      </c>
      <c r="C126" s="5">
        <v>21174.66</v>
      </c>
      <c r="D126" s="98">
        <v>21258.58</v>
      </c>
      <c r="E126" s="128">
        <f t="shared" si="3"/>
        <v>83.92000000000189</v>
      </c>
    </row>
    <row r="127" spans="2:5" ht="12.75">
      <c r="B127" s="115" t="s">
        <v>232</v>
      </c>
      <c r="C127" s="5">
        <v>42443.07</v>
      </c>
      <c r="D127" s="5">
        <v>39233.88</v>
      </c>
      <c r="E127" s="128">
        <f t="shared" si="3"/>
        <v>-3209.1900000000023</v>
      </c>
    </row>
    <row r="128" spans="2:5" ht="25.5">
      <c r="B128" s="220" t="s">
        <v>939</v>
      </c>
      <c r="C128" s="296">
        <v>2500</v>
      </c>
      <c r="D128" s="107">
        <v>2500</v>
      </c>
      <c r="E128" s="128">
        <f t="shared" si="3"/>
        <v>0</v>
      </c>
    </row>
    <row r="129" spans="2:5" ht="12.75">
      <c r="B129" s="115" t="s">
        <v>657</v>
      </c>
      <c r="C129" s="5">
        <v>3993.12</v>
      </c>
      <c r="D129" s="5">
        <v>3993.12</v>
      </c>
      <c r="E129" s="57">
        <f t="shared" si="3"/>
        <v>0</v>
      </c>
    </row>
    <row r="130" spans="2:5" ht="13.5" thickBot="1">
      <c r="B130" s="157" t="s">
        <v>372</v>
      </c>
      <c r="C130" s="95">
        <v>26000</v>
      </c>
      <c r="D130" s="95">
        <v>26000</v>
      </c>
      <c r="E130" s="222">
        <f t="shared" si="3"/>
        <v>0</v>
      </c>
    </row>
    <row r="131" spans="2:5" ht="13.5" thickBot="1">
      <c r="B131" s="177"/>
      <c r="C131" s="217">
        <f>SUM(C122:C130)</f>
        <v>1194375.86</v>
      </c>
      <c r="D131" s="217">
        <f>SUM(D122:D130)</f>
        <v>1210339.9400000002</v>
      </c>
      <c r="E131" s="217">
        <f>SUM(E122:E130)</f>
        <v>15964.080000000013</v>
      </c>
    </row>
    <row r="132" spans="2:5" ht="13.5" thickBot="1">
      <c r="B132" s="363" t="s">
        <v>1058</v>
      </c>
      <c r="C132" s="364"/>
      <c r="D132" s="364"/>
      <c r="E132" s="365"/>
    </row>
    <row r="133" spans="2:5" ht="12.75">
      <c r="B133" s="140" t="s">
        <v>285</v>
      </c>
      <c r="C133" s="141">
        <v>703646.46</v>
      </c>
      <c r="D133" s="155">
        <v>691312.09</v>
      </c>
      <c r="E133" s="294">
        <f aca="true" t="shared" si="4" ref="E133:E140">D133-C133</f>
        <v>-12334.369999999995</v>
      </c>
    </row>
    <row r="134" spans="2:5" ht="12.75">
      <c r="B134" s="115" t="s">
        <v>637</v>
      </c>
      <c r="C134" s="5">
        <v>343726.19</v>
      </c>
      <c r="D134" s="33">
        <v>335893.98</v>
      </c>
      <c r="E134" s="128">
        <f t="shared" si="4"/>
        <v>-7832.210000000021</v>
      </c>
    </row>
    <row r="135" spans="2:5" ht="12.75">
      <c r="B135" s="115" t="s">
        <v>633</v>
      </c>
      <c r="C135" s="5">
        <v>95667.52</v>
      </c>
      <c r="D135" s="34">
        <v>95871.52</v>
      </c>
      <c r="E135" s="128">
        <f t="shared" si="4"/>
        <v>204</v>
      </c>
    </row>
    <row r="136" spans="2:5" ht="12.75">
      <c r="B136" s="115" t="s">
        <v>1200</v>
      </c>
      <c r="C136" s="67">
        <v>17823</v>
      </c>
      <c r="D136" s="83">
        <v>17823</v>
      </c>
      <c r="E136" s="128">
        <f t="shared" si="4"/>
        <v>0</v>
      </c>
    </row>
    <row r="137" spans="2:5" ht="12.75">
      <c r="B137" s="116" t="s">
        <v>278</v>
      </c>
      <c r="C137" s="65">
        <v>45604.92</v>
      </c>
      <c r="D137" s="83">
        <v>44751.37</v>
      </c>
      <c r="E137" s="128">
        <f t="shared" si="4"/>
        <v>-853.5499999999956</v>
      </c>
    </row>
    <row r="138" spans="2:5" ht="12.75">
      <c r="B138" s="116" t="s">
        <v>232</v>
      </c>
      <c r="C138" s="65">
        <v>30364.94</v>
      </c>
      <c r="D138" s="65">
        <v>41083.16</v>
      </c>
      <c r="E138" s="128">
        <f t="shared" si="4"/>
        <v>10718.220000000005</v>
      </c>
    </row>
    <row r="139" spans="2:5" ht="25.5">
      <c r="B139" s="278" t="s">
        <v>939</v>
      </c>
      <c r="C139" s="272">
        <v>3150</v>
      </c>
      <c r="D139" s="295">
        <v>3150</v>
      </c>
      <c r="E139" s="128">
        <f t="shared" si="4"/>
        <v>0</v>
      </c>
    </row>
    <row r="140" spans="2:5" ht="13.5" thickBot="1">
      <c r="B140" s="157" t="s">
        <v>657</v>
      </c>
      <c r="C140" s="225">
        <v>3984</v>
      </c>
      <c r="D140" s="225">
        <v>3984</v>
      </c>
      <c r="E140" s="222">
        <f t="shared" si="4"/>
        <v>0</v>
      </c>
    </row>
    <row r="141" spans="2:5" ht="13.5" thickBot="1">
      <c r="B141" s="177"/>
      <c r="C141" s="217">
        <f>SUM(C133:C140)</f>
        <v>1243967.0299999998</v>
      </c>
      <c r="D141" s="217">
        <f>SUM(D133:D140)</f>
        <v>1233869.1199999999</v>
      </c>
      <c r="E141" s="217">
        <f>SUM(E133:E140)</f>
        <v>-10097.910000000007</v>
      </c>
    </row>
    <row r="142" spans="2:5" ht="13.5" thickBot="1">
      <c r="B142" s="363" t="s">
        <v>823</v>
      </c>
      <c r="C142" s="364"/>
      <c r="D142" s="364"/>
      <c r="E142" s="365"/>
    </row>
    <row r="143" spans="2:5" ht="12.75">
      <c r="B143" s="140" t="s">
        <v>285</v>
      </c>
      <c r="C143" s="141">
        <v>401077.4</v>
      </c>
      <c r="D143" s="155">
        <v>355762.96</v>
      </c>
      <c r="E143" s="242">
        <f aca="true" t="shared" si="5" ref="E143:E150">D143-C143</f>
        <v>-45314.44</v>
      </c>
    </row>
    <row r="144" spans="2:5" ht="12.75">
      <c r="B144" s="115" t="s">
        <v>637</v>
      </c>
      <c r="C144" s="5">
        <v>196993.33</v>
      </c>
      <c r="D144" s="33">
        <v>174180.2</v>
      </c>
      <c r="E144" s="57">
        <f t="shared" si="5"/>
        <v>-22813.129999999976</v>
      </c>
    </row>
    <row r="145" spans="2:5" ht="12.75">
      <c r="B145" s="115" t="s">
        <v>633</v>
      </c>
      <c r="C145" s="65">
        <v>58622.33</v>
      </c>
      <c r="D145" s="70">
        <v>50938.12</v>
      </c>
      <c r="E145" s="57">
        <f t="shared" si="5"/>
        <v>-7684.209999999999</v>
      </c>
    </row>
    <row r="146" spans="2:5" ht="12.75">
      <c r="B146" s="116" t="s">
        <v>816</v>
      </c>
      <c r="C146" s="94">
        <v>58294.24</v>
      </c>
      <c r="D146" s="83">
        <v>52130.28</v>
      </c>
      <c r="E146" s="57">
        <f t="shared" si="5"/>
        <v>-6163.959999999999</v>
      </c>
    </row>
    <row r="147" spans="2:5" ht="12.75">
      <c r="B147" s="278" t="s">
        <v>792</v>
      </c>
      <c r="C147" s="122">
        <v>2350</v>
      </c>
      <c r="D147" s="122">
        <v>2550</v>
      </c>
      <c r="E147" s="123">
        <f t="shared" si="5"/>
        <v>200</v>
      </c>
    </row>
    <row r="148" spans="2:5" ht="12.75">
      <c r="B148" s="116" t="s">
        <v>364</v>
      </c>
      <c r="C148" s="122">
        <v>11566.85</v>
      </c>
      <c r="D148" s="122">
        <v>8381.26</v>
      </c>
      <c r="E148" s="57">
        <f t="shared" si="5"/>
        <v>-3185.59</v>
      </c>
    </row>
    <row r="149" spans="2:5" ht="12.75">
      <c r="B149" s="116" t="s">
        <v>423</v>
      </c>
      <c r="C149" s="94">
        <v>1921.66</v>
      </c>
      <c r="D149" s="83">
        <v>2695</v>
      </c>
      <c r="E149" s="66">
        <f t="shared" si="5"/>
        <v>773.3399999999999</v>
      </c>
    </row>
    <row r="150" spans="2:5" ht="13.5" thickBot="1">
      <c r="B150" s="157" t="s">
        <v>431</v>
      </c>
      <c r="C150" s="274">
        <v>4996.26</v>
      </c>
      <c r="D150" s="277">
        <v>4996.26</v>
      </c>
      <c r="E150" s="219">
        <f t="shared" si="5"/>
        <v>0</v>
      </c>
    </row>
    <row r="151" spans="2:5" ht="13.5" thickBot="1">
      <c r="B151" s="177"/>
      <c r="C151" s="217">
        <f>SUM(C143:C150)</f>
        <v>735822.07</v>
      </c>
      <c r="D151" s="217">
        <f>SUM(D143:D150)</f>
        <v>651634.0800000001</v>
      </c>
      <c r="E151" s="217">
        <f>SUM(E143:E150)</f>
        <v>-84187.98999999996</v>
      </c>
    </row>
    <row r="152" spans="2:5" ht="13.5" thickBot="1">
      <c r="B152" s="363" t="s">
        <v>87</v>
      </c>
      <c r="C152" s="364"/>
      <c r="D152" s="364"/>
      <c r="E152" s="365"/>
    </row>
    <row r="153" spans="2:5" ht="12.75">
      <c r="B153" s="140" t="s">
        <v>285</v>
      </c>
      <c r="C153" s="234">
        <v>720852.24</v>
      </c>
      <c r="D153" s="218">
        <v>752666.92</v>
      </c>
      <c r="E153" s="242">
        <f aca="true" t="shared" si="6" ref="E153:E160">D153-C153</f>
        <v>31814.68000000005</v>
      </c>
    </row>
    <row r="154" spans="2:5" ht="12.75">
      <c r="B154" s="115" t="s">
        <v>637</v>
      </c>
      <c r="C154" s="10">
        <v>354921.81</v>
      </c>
      <c r="D154" s="98">
        <v>371598.36</v>
      </c>
      <c r="E154" s="57">
        <f t="shared" si="6"/>
        <v>16676.54999999999</v>
      </c>
    </row>
    <row r="155" spans="2:5" ht="12.75">
      <c r="B155" s="115" t="s">
        <v>364</v>
      </c>
      <c r="C155" s="10">
        <v>21268.16</v>
      </c>
      <c r="D155" s="98">
        <v>24086.53</v>
      </c>
      <c r="E155" s="57">
        <f t="shared" si="6"/>
        <v>2818.369999999999</v>
      </c>
    </row>
    <row r="156" spans="2:5" ht="12.75">
      <c r="B156" s="115" t="s">
        <v>633</v>
      </c>
      <c r="C156" s="10">
        <v>103988.24</v>
      </c>
      <c r="D156" s="98">
        <v>109161.74</v>
      </c>
      <c r="E156" s="57">
        <f t="shared" si="6"/>
        <v>5173.5</v>
      </c>
    </row>
    <row r="157" spans="2:5" ht="12.75">
      <c r="B157" s="115" t="s">
        <v>1061</v>
      </c>
      <c r="C157" s="10">
        <f>3500+2400</f>
        <v>5900</v>
      </c>
      <c r="D157" s="98">
        <f>4200+2400</f>
        <v>6600</v>
      </c>
      <c r="E157" s="57">
        <f t="shared" si="6"/>
        <v>700</v>
      </c>
    </row>
    <row r="158" spans="2:5" ht="12.75">
      <c r="B158" s="269" t="s">
        <v>393</v>
      </c>
      <c r="C158" s="10">
        <v>5217.28</v>
      </c>
      <c r="D158" s="98">
        <v>5014.14</v>
      </c>
      <c r="E158" s="57">
        <f t="shared" si="6"/>
        <v>-203.13999999999942</v>
      </c>
    </row>
    <row r="159" spans="2:5" ht="12.75" customHeight="1">
      <c r="B159" s="115" t="s">
        <v>805</v>
      </c>
      <c r="C159" s="125">
        <f>16990.54+3473.72+8011.85+9618.48+9618.48</f>
        <v>47713.06999999999</v>
      </c>
      <c r="D159" s="125">
        <f>11793.52+4342.15+5685.2+10183.5+10183.5</f>
        <v>42187.869999999995</v>
      </c>
      <c r="E159" s="128">
        <f t="shared" si="6"/>
        <v>-5525.199999999997</v>
      </c>
    </row>
    <row r="160" spans="2:5" ht="13.5" thickBot="1">
      <c r="B160" s="157" t="s">
        <v>431</v>
      </c>
      <c r="C160" s="274">
        <v>1139.62</v>
      </c>
      <c r="D160" s="277">
        <v>1139.62</v>
      </c>
      <c r="E160" s="219">
        <f t="shared" si="6"/>
        <v>0</v>
      </c>
    </row>
    <row r="161" spans="2:5" ht="13.5" thickBot="1">
      <c r="B161" s="177"/>
      <c r="C161" s="217">
        <f>SUM(C153:C159)</f>
        <v>1259860.8</v>
      </c>
      <c r="D161" s="217">
        <f>SUM(D153:D159)</f>
        <v>1311315.56</v>
      </c>
      <c r="E161" s="217">
        <f>SUM(E153:E159)</f>
        <v>51454.76000000004</v>
      </c>
    </row>
    <row r="162" spans="2:5" ht="13.5" thickBot="1">
      <c r="B162" s="366" t="s">
        <v>379</v>
      </c>
      <c r="C162" s="367"/>
      <c r="D162" s="367"/>
      <c r="E162" s="368"/>
    </row>
    <row r="163" spans="2:5" ht="13.5" thickBot="1">
      <c r="B163" s="153"/>
      <c r="C163" s="176">
        <f>C110+C120+C131+C97+C104+C141+C151+C161</f>
        <v>7002666.04</v>
      </c>
      <c r="D163" s="176">
        <f>D110+D120+D131+D97+D104+D141+D151+D161</f>
        <v>7114409.050000001</v>
      </c>
      <c r="E163" s="176">
        <f>E110+E120+E131+E97+E104+E141+E151+E161</f>
        <v>111743.01000000015</v>
      </c>
    </row>
  </sheetData>
  <sheetProtection/>
  <mergeCells count="28">
    <mergeCell ref="A22:D22"/>
    <mergeCell ref="D26:E26"/>
    <mergeCell ref="A2:B2"/>
    <mergeCell ref="C2:E2"/>
    <mergeCell ref="C3:E3"/>
    <mergeCell ref="B4:E4"/>
    <mergeCell ref="A6:E6"/>
    <mergeCell ref="A21:D21"/>
    <mergeCell ref="D79:E79"/>
    <mergeCell ref="D80:E80"/>
    <mergeCell ref="D81:E81"/>
    <mergeCell ref="D82:E82"/>
    <mergeCell ref="D30:E31"/>
    <mergeCell ref="D32:E32"/>
    <mergeCell ref="D87:E87"/>
    <mergeCell ref="B90:E90"/>
    <mergeCell ref="B98:E98"/>
    <mergeCell ref="B105:E105"/>
    <mergeCell ref="D83:E83"/>
    <mergeCell ref="D84:E84"/>
    <mergeCell ref="D85:E85"/>
    <mergeCell ref="D86:E86"/>
    <mergeCell ref="B162:E162"/>
    <mergeCell ref="B152:E152"/>
    <mergeCell ref="B111:E111"/>
    <mergeCell ref="B121:E121"/>
    <mergeCell ref="B132:E132"/>
    <mergeCell ref="B142:E142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54.375" style="0" customWidth="1"/>
    <col min="3" max="3" width="10.625" style="0" customWidth="1"/>
    <col min="4" max="4" width="12.375" style="0" customWidth="1"/>
    <col min="5" max="5" width="12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403</v>
      </c>
      <c r="C7" s="26"/>
      <c r="D7" s="24"/>
    </row>
    <row r="8" spans="1:4" ht="15">
      <c r="A8" s="26"/>
      <c r="B8" s="27" t="s">
        <v>115</v>
      </c>
      <c r="C8" s="38">
        <v>2788.2</v>
      </c>
      <c r="D8" s="92" t="s">
        <v>116</v>
      </c>
    </row>
    <row r="9" spans="1:4" ht="15">
      <c r="A9" s="26"/>
      <c r="B9" s="27" t="s">
        <v>654</v>
      </c>
      <c r="C9" s="93">
        <v>730.7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322021.4</v>
      </c>
      <c r="D12" s="155">
        <v>346212.5</v>
      </c>
      <c r="E12" s="242">
        <f>D12-C12</f>
        <v>24191.099999999977</v>
      </c>
    </row>
    <row r="13" spans="1:5" ht="12.75">
      <c r="A13" s="84">
        <v>2</v>
      </c>
      <c r="B13" s="5" t="s">
        <v>637</v>
      </c>
      <c r="C13" s="10">
        <f>157034+0.3</f>
        <v>157034.3</v>
      </c>
      <c r="D13" s="34">
        <f>169516.73+1.91</f>
        <v>169518.64</v>
      </c>
      <c r="E13" s="57">
        <f>D13-C13</f>
        <v>12484.340000000026</v>
      </c>
    </row>
    <row r="14" spans="1:5" ht="12.75">
      <c r="A14" s="87">
        <v>3</v>
      </c>
      <c r="B14" s="5" t="s">
        <v>633</v>
      </c>
      <c r="C14" s="67">
        <v>26099.4</v>
      </c>
      <c r="D14" s="83">
        <v>27638.12</v>
      </c>
      <c r="E14" s="57">
        <f>D14-C14</f>
        <v>1538.7199999999975</v>
      </c>
    </row>
    <row r="15" spans="1:5" ht="12.75">
      <c r="A15" s="84">
        <v>4</v>
      </c>
      <c r="B15" s="65" t="s">
        <v>364</v>
      </c>
      <c r="C15" s="94">
        <v>34513.72</v>
      </c>
      <c r="D15" s="83">
        <v>36652.22</v>
      </c>
      <c r="E15" s="57">
        <f>D15-C15</f>
        <v>2138.5</v>
      </c>
    </row>
    <row r="16" spans="1:5" ht="13.5" thickBot="1">
      <c r="A16" s="87">
        <v>5</v>
      </c>
      <c r="B16" s="5" t="s">
        <v>805</v>
      </c>
      <c r="C16" s="67">
        <v>127170.31</v>
      </c>
      <c r="D16" s="83">
        <v>142643.73</v>
      </c>
      <c r="E16" s="57">
        <f>D16-C16</f>
        <v>15473.420000000013</v>
      </c>
    </row>
    <row r="17" spans="1:5" ht="13.5" thickBot="1">
      <c r="A17" s="208"/>
      <c r="B17" s="209"/>
      <c r="C17" s="135">
        <f>SUM(C12:C16)</f>
        <v>666839.1300000001</v>
      </c>
      <c r="D17" s="135">
        <f>SUM(D12:D16)</f>
        <v>722665.21</v>
      </c>
      <c r="E17" s="136">
        <f>SUM(E12:E16)</f>
        <v>55826.080000000016</v>
      </c>
    </row>
    <row r="18" spans="1:5" ht="12.75">
      <c r="A18" s="385" t="s">
        <v>793</v>
      </c>
      <c r="B18" s="386"/>
      <c r="C18" s="386"/>
      <c r="D18" s="386"/>
      <c r="E18" s="108">
        <f>E131</f>
        <v>160480.7</v>
      </c>
    </row>
    <row r="19" spans="1:2" ht="12.75">
      <c r="A19" s="37"/>
      <c r="B19" s="3" t="s">
        <v>217</v>
      </c>
    </row>
    <row r="20" spans="1:2" ht="13.5" thickBot="1">
      <c r="A20" s="37"/>
      <c r="B20" s="30" t="s">
        <v>964</v>
      </c>
    </row>
    <row r="21" spans="1:5" ht="12.75">
      <c r="A21" s="86">
        <v>1</v>
      </c>
      <c r="B21" s="64" t="s">
        <v>417</v>
      </c>
      <c r="C21" s="80">
        <f>C58</f>
        <v>216099.6</v>
      </c>
      <c r="E21" s="29"/>
    </row>
    <row r="22" spans="1:5" ht="12.75" customHeight="1">
      <c r="A22" s="91">
        <v>2</v>
      </c>
      <c r="B22" s="25" t="s">
        <v>344</v>
      </c>
      <c r="C22" s="102">
        <f>C64</f>
        <v>15212.74</v>
      </c>
      <c r="D22" s="388"/>
      <c r="E22" s="389"/>
    </row>
    <row r="23" spans="1:5" ht="12.75">
      <c r="A23" s="84">
        <v>3</v>
      </c>
      <c r="B23" s="9" t="s">
        <v>649</v>
      </c>
      <c r="C23" s="48">
        <v>27729.24</v>
      </c>
      <c r="E23" s="29"/>
    </row>
    <row r="24" spans="1:5" ht="12.75">
      <c r="A24" s="84">
        <v>4</v>
      </c>
      <c r="B24" s="9" t="s">
        <v>122</v>
      </c>
      <c r="C24" s="48">
        <f>(C8*0.55*12)</f>
        <v>18402.12</v>
      </c>
      <c r="E24" s="29"/>
    </row>
    <row r="25" spans="1:5" ht="12.75">
      <c r="A25" s="84">
        <v>5</v>
      </c>
      <c r="B25" s="9" t="s">
        <v>658</v>
      </c>
      <c r="C25" s="79">
        <v>34349.64</v>
      </c>
      <c r="E25" s="29"/>
    </row>
    <row r="26" spans="1:5" ht="25.5">
      <c r="A26" s="91">
        <v>6</v>
      </c>
      <c r="B26" s="25" t="s">
        <v>355</v>
      </c>
      <c r="C26" s="96">
        <v>6000</v>
      </c>
      <c r="E26" s="29"/>
    </row>
    <row r="27" spans="1:5" ht="25.5">
      <c r="A27" s="91">
        <v>7</v>
      </c>
      <c r="B27" s="25" t="s">
        <v>354</v>
      </c>
      <c r="C27" s="96">
        <v>19200</v>
      </c>
      <c r="E27" s="29"/>
    </row>
    <row r="28" spans="1:5" ht="12.75">
      <c r="A28" s="91">
        <v>8</v>
      </c>
      <c r="B28" s="346" t="s">
        <v>356</v>
      </c>
      <c r="C28" s="96">
        <v>600</v>
      </c>
      <c r="E28" s="29"/>
    </row>
    <row r="29" spans="1:5" ht="25.5">
      <c r="A29" s="91">
        <v>9</v>
      </c>
      <c r="B29" s="25" t="s">
        <v>727</v>
      </c>
      <c r="C29" s="96">
        <v>7550</v>
      </c>
      <c r="E29" s="29"/>
    </row>
    <row r="30" spans="1:5" ht="12.75">
      <c r="A30" s="91">
        <v>10</v>
      </c>
      <c r="B30" s="25" t="s">
        <v>363</v>
      </c>
      <c r="C30" s="349">
        <v>6716.58</v>
      </c>
      <c r="E30" s="29"/>
    </row>
    <row r="31" spans="1:3" ht="12.75">
      <c r="A31" s="50"/>
      <c r="B31" s="20" t="s">
        <v>629</v>
      </c>
      <c r="C31" s="51">
        <f>SUM(C21:C30)</f>
        <v>351859.92000000004</v>
      </c>
    </row>
    <row r="32" spans="1:3" ht="12.75">
      <c r="A32" s="49"/>
      <c r="B32" s="8" t="s">
        <v>965</v>
      </c>
      <c r="C32" s="45"/>
    </row>
    <row r="33" spans="1:3" ht="12.75">
      <c r="A33" s="84">
        <v>1</v>
      </c>
      <c r="B33" s="9" t="s">
        <v>228</v>
      </c>
      <c r="C33" s="48">
        <f>(C17)*15%</f>
        <v>100025.86950000002</v>
      </c>
    </row>
    <row r="34" spans="1:3" ht="12.75">
      <c r="A34" s="84">
        <v>2</v>
      </c>
      <c r="B34" s="9" t="s">
        <v>813</v>
      </c>
      <c r="C34" s="48">
        <f>C70</f>
        <v>6038.8391538637225</v>
      </c>
    </row>
    <row r="35" spans="1:3" ht="12.75">
      <c r="A35" s="84">
        <v>3</v>
      </c>
      <c r="B35" s="9" t="s">
        <v>653</v>
      </c>
      <c r="C35" s="48">
        <f>C71</f>
        <v>6559.074119110285</v>
      </c>
    </row>
    <row r="36" spans="1:3" ht="12.75">
      <c r="A36" s="84">
        <v>4</v>
      </c>
      <c r="B36" s="9" t="s">
        <v>1114</v>
      </c>
      <c r="C36" s="52">
        <f>C72</f>
        <v>13315.182709112118</v>
      </c>
    </row>
    <row r="37" spans="1:3" ht="12.75">
      <c r="A37" s="84">
        <v>5</v>
      </c>
      <c r="B37" s="9" t="s">
        <v>162</v>
      </c>
      <c r="C37" s="52">
        <f>C73</f>
        <v>12278.953462127312</v>
      </c>
    </row>
    <row r="38" spans="1:3" ht="12.75">
      <c r="A38" s="84">
        <v>6</v>
      </c>
      <c r="B38" s="9" t="s">
        <v>1051</v>
      </c>
      <c r="C38" s="48">
        <f>C74+C76+C77+C78+C75</f>
        <v>20837.33211497407</v>
      </c>
    </row>
    <row r="39" spans="1:3" ht="12.75">
      <c r="A39" s="49"/>
      <c r="B39" s="74" t="s">
        <v>809</v>
      </c>
      <c r="C39" s="53"/>
    </row>
    <row r="40" spans="1:3" ht="12.75">
      <c r="A40" s="49"/>
      <c r="B40" s="5" t="s">
        <v>655</v>
      </c>
      <c r="C40" s="53"/>
    </row>
    <row r="41" spans="1:3" ht="12.75">
      <c r="A41" s="49"/>
      <c r="B41" s="74" t="s">
        <v>656</v>
      </c>
      <c r="C41" s="53"/>
    </row>
    <row r="42" spans="1:3" ht="12.75">
      <c r="A42" s="49"/>
      <c r="B42" s="74" t="s">
        <v>808</v>
      </c>
      <c r="C42" s="53"/>
    </row>
    <row r="43" spans="1:3" ht="12.75">
      <c r="A43" s="50"/>
      <c r="B43" s="20" t="s">
        <v>629</v>
      </c>
      <c r="C43" s="51">
        <f>C33+C34+C35+C36+C37+C38</f>
        <v>159055.25105918752</v>
      </c>
    </row>
    <row r="44" spans="1:3" ht="12.75">
      <c r="A44" s="49"/>
      <c r="B44" s="7" t="s">
        <v>966</v>
      </c>
      <c r="C44" s="45"/>
    </row>
    <row r="45" spans="1:3" ht="12.75">
      <c r="A45" s="84">
        <v>1</v>
      </c>
      <c r="B45" s="9" t="s">
        <v>631</v>
      </c>
      <c r="C45" s="48">
        <f>C17*2%</f>
        <v>13336.782600000002</v>
      </c>
    </row>
    <row r="46" spans="1:3" ht="12.75">
      <c r="A46" s="84">
        <v>2</v>
      </c>
      <c r="B46" s="9" t="s">
        <v>391</v>
      </c>
      <c r="C46" s="48">
        <f>C47</f>
        <v>39210.140844</v>
      </c>
    </row>
    <row r="47" spans="1:4" ht="12.75">
      <c r="A47" s="49"/>
      <c r="B47" s="5" t="s">
        <v>334</v>
      </c>
      <c r="C47" s="41">
        <f>(C17-C45)*6%</f>
        <v>39210.140844</v>
      </c>
      <c r="D47" s="19"/>
    </row>
    <row r="48" spans="1:3" ht="13.5" thickBot="1">
      <c r="A48" s="54"/>
      <c r="B48" s="55" t="s">
        <v>967</v>
      </c>
      <c r="C48" s="56">
        <f>C45+C46</f>
        <v>52546.923444</v>
      </c>
    </row>
    <row r="49" spans="1:3" ht="12.75">
      <c r="A49" s="23"/>
      <c r="B49" s="4" t="s">
        <v>288</v>
      </c>
      <c r="C49" s="11">
        <f>C31+C43+C48</f>
        <v>563462.0945031876</v>
      </c>
    </row>
    <row r="50" spans="1:3" ht="12.75">
      <c r="A50" s="23"/>
      <c r="B50" s="77"/>
      <c r="C50" s="1"/>
    </row>
    <row r="51" spans="1:3" ht="15">
      <c r="A51" s="23"/>
      <c r="B51" s="14" t="s">
        <v>812</v>
      </c>
      <c r="C51" s="1">
        <v>359274.47</v>
      </c>
    </row>
    <row r="52" spans="1:3" ht="15">
      <c r="A52" s="23"/>
      <c r="B52" s="14" t="s">
        <v>180</v>
      </c>
      <c r="C52" s="11">
        <f>C49+C51-C17</f>
        <v>255897.43450318743</v>
      </c>
    </row>
    <row r="53" ht="12.75">
      <c r="B53" s="1" t="s">
        <v>85</v>
      </c>
    </row>
    <row r="54" ht="15.75" customHeight="1">
      <c r="B54" s="1" t="s">
        <v>1197</v>
      </c>
    </row>
    <row r="55" spans="1:4" ht="12.75">
      <c r="A55" s="2"/>
      <c r="B55" s="2"/>
      <c r="C55" s="2" t="s">
        <v>790</v>
      </c>
      <c r="D55" s="2"/>
    </row>
    <row r="56" spans="1:4" ht="12.75">
      <c r="A56" s="2"/>
      <c r="B56" s="2"/>
      <c r="C56" s="2" t="s">
        <v>3</v>
      </c>
      <c r="D56" s="2"/>
    </row>
    <row r="57" spans="1:5" ht="13.5" thickBot="1">
      <c r="A57" s="37"/>
      <c r="B57" s="37" t="s">
        <v>969</v>
      </c>
      <c r="C57" s="32" t="s">
        <v>886</v>
      </c>
      <c r="D57" s="114">
        <f>C8+C9</f>
        <v>3518.8999999999996</v>
      </c>
      <c r="E57" t="s">
        <v>116</v>
      </c>
    </row>
    <row r="58" spans="1:5" ht="12.75">
      <c r="A58" s="60" t="s">
        <v>218</v>
      </c>
      <c r="B58" s="39" t="s">
        <v>286</v>
      </c>
      <c r="C58" s="47">
        <v>216099.6</v>
      </c>
      <c r="D58" s="15"/>
      <c r="E58" s="21"/>
    </row>
    <row r="59" spans="1:5" ht="12.75">
      <c r="A59" s="61"/>
      <c r="B59" s="6" t="s">
        <v>118</v>
      </c>
      <c r="C59" s="41"/>
      <c r="D59" s="15"/>
      <c r="E59" s="21"/>
    </row>
    <row r="60" spans="1:5" ht="12.75">
      <c r="A60" s="62" t="s">
        <v>166</v>
      </c>
      <c r="B60" s="6" t="s">
        <v>380</v>
      </c>
      <c r="C60" s="41">
        <v>1830</v>
      </c>
      <c r="D60" s="15"/>
      <c r="E60" s="15"/>
    </row>
    <row r="61" spans="1:5" ht="12.75">
      <c r="A61" s="62" t="s">
        <v>166</v>
      </c>
      <c r="B61" s="6" t="s">
        <v>277</v>
      </c>
      <c r="C61" s="41">
        <v>8800</v>
      </c>
      <c r="D61" s="15"/>
      <c r="E61" s="15"/>
    </row>
    <row r="62" spans="1:5" ht="12.75">
      <c r="A62" s="62" t="s">
        <v>166</v>
      </c>
      <c r="B62" s="6" t="s">
        <v>357</v>
      </c>
      <c r="C62" s="41">
        <v>2600</v>
      </c>
      <c r="D62" s="15"/>
      <c r="E62" s="15"/>
    </row>
    <row r="63" spans="1:5" ht="13.5" thickBot="1">
      <c r="A63" s="62" t="s">
        <v>166</v>
      </c>
      <c r="B63" s="6" t="s">
        <v>11</v>
      </c>
      <c r="C63" s="41">
        <v>1800</v>
      </c>
      <c r="D63" s="15"/>
      <c r="E63" s="15"/>
    </row>
    <row r="64" spans="1:5" ht="12.75">
      <c r="A64" s="60" t="s">
        <v>328</v>
      </c>
      <c r="B64" s="39" t="s">
        <v>343</v>
      </c>
      <c r="C64" s="47">
        <v>15212.74</v>
      </c>
      <c r="D64" s="15"/>
      <c r="E64" s="12"/>
    </row>
    <row r="65" spans="1:5" ht="12.75">
      <c r="A65" s="61"/>
      <c r="B65" s="6" t="s">
        <v>118</v>
      </c>
      <c r="C65" s="41"/>
      <c r="D65" s="15"/>
      <c r="E65" s="12"/>
    </row>
    <row r="66" spans="1:5" ht="12.75">
      <c r="A66" s="62" t="s">
        <v>166</v>
      </c>
      <c r="B66" s="6" t="s">
        <v>380</v>
      </c>
      <c r="C66" s="41">
        <v>2177</v>
      </c>
      <c r="D66" s="15"/>
      <c r="E66" s="12"/>
    </row>
    <row r="67" spans="1:5" ht="13.5" thickBot="1">
      <c r="A67" s="63" t="s">
        <v>166</v>
      </c>
      <c r="B67" s="42" t="s">
        <v>818</v>
      </c>
      <c r="C67" s="46">
        <v>159.43</v>
      </c>
      <c r="D67" s="15"/>
      <c r="E67" s="15"/>
    </row>
    <row r="68" spans="1:5" ht="12.75">
      <c r="A68" s="300" t="s">
        <v>787</v>
      </c>
      <c r="B68" s="97" t="s">
        <v>1050</v>
      </c>
      <c r="C68" s="82">
        <f>C69+C70+C72+C71+C73+C74+C76+C77+C78+C75</f>
        <v>159055.2510591875</v>
      </c>
      <c r="D68" s="15"/>
      <c r="E68" s="12"/>
    </row>
    <row r="69" spans="1:5" ht="13.5" thickBot="1">
      <c r="A69" s="40" t="s">
        <v>166</v>
      </c>
      <c r="B69" s="6" t="s">
        <v>227</v>
      </c>
      <c r="C69" s="41">
        <f>C33</f>
        <v>100025.86950000002</v>
      </c>
      <c r="D69" s="15"/>
      <c r="E69" s="12"/>
    </row>
    <row r="70" spans="1:5" ht="12.75">
      <c r="A70" s="40" t="s">
        <v>166</v>
      </c>
      <c r="B70" s="6" t="s">
        <v>370</v>
      </c>
      <c r="C70" s="317">
        <f>401410.25/185335.63*C8</f>
        <v>6038.8391538637225</v>
      </c>
      <c r="D70" s="375" t="s">
        <v>345</v>
      </c>
      <c r="E70" s="376"/>
    </row>
    <row r="71" spans="1:5" ht="12.75">
      <c r="A71" s="73" t="s">
        <v>166</v>
      </c>
      <c r="B71" s="74" t="s">
        <v>397</v>
      </c>
      <c r="C71" s="317">
        <f>435991.01/185335.63*C8</f>
        <v>6559.074119110285</v>
      </c>
      <c r="D71" s="377" t="s">
        <v>346</v>
      </c>
      <c r="E71" s="378"/>
    </row>
    <row r="72" spans="1:5" ht="12.75">
      <c r="A72" s="71" t="s">
        <v>166</v>
      </c>
      <c r="B72" s="72" t="s">
        <v>416</v>
      </c>
      <c r="C72" s="317">
        <f>1082167/226605.83*C8</f>
        <v>13315.182709112118</v>
      </c>
      <c r="D72" s="379" t="s">
        <v>347</v>
      </c>
      <c r="E72" s="380"/>
    </row>
    <row r="73" spans="1:5" ht="25.5">
      <c r="A73" s="73" t="s">
        <v>166</v>
      </c>
      <c r="B73" s="72" t="s">
        <v>231</v>
      </c>
      <c r="C73" s="318">
        <f>845684.35/242356.05*D57</f>
        <v>12278.953462127312</v>
      </c>
      <c r="D73" s="381" t="s">
        <v>348</v>
      </c>
      <c r="E73" s="382"/>
    </row>
    <row r="74" spans="1:5" ht="12.75">
      <c r="A74" s="73" t="s">
        <v>166</v>
      </c>
      <c r="B74" s="74" t="s">
        <v>808</v>
      </c>
      <c r="C74" s="318">
        <f>642562.44/242356.05*D57</f>
        <v>9329.715392357648</v>
      </c>
      <c r="D74" s="371" t="s">
        <v>349</v>
      </c>
      <c r="E74" s="372"/>
    </row>
    <row r="75" spans="1:5" ht="12.75">
      <c r="A75" s="73" t="s">
        <v>166</v>
      </c>
      <c r="B75" s="74" t="s">
        <v>826</v>
      </c>
      <c r="C75" s="318">
        <f>51615/196822.43*D57</f>
        <v>922.8014484934466</v>
      </c>
      <c r="D75" s="371" t="s">
        <v>350</v>
      </c>
      <c r="E75" s="372"/>
    </row>
    <row r="76" spans="1:5" ht="12.75">
      <c r="A76" s="73" t="s">
        <v>166</v>
      </c>
      <c r="B76" s="74" t="s">
        <v>655</v>
      </c>
      <c r="C76" s="318">
        <f>129011.28/196822.43*D57</f>
        <v>2306.534845606773</v>
      </c>
      <c r="D76" s="371" t="s">
        <v>351</v>
      </c>
      <c r="E76" s="372"/>
    </row>
    <row r="77" spans="1:5" ht="12.75">
      <c r="A77" s="73" t="s">
        <v>166</v>
      </c>
      <c r="B77" s="74" t="s">
        <v>656</v>
      </c>
      <c r="C77" s="318">
        <f>164128/196822.43*D57</f>
        <v>2934.370941360697</v>
      </c>
      <c r="D77" s="373" t="s">
        <v>352</v>
      </c>
      <c r="E77" s="374"/>
    </row>
    <row r="78" spans="1:5" ht="13.5" thickBot="1">
      <c r="A78" s="75" t="s">
        <v>166</v>
      </c>
      <c r="B78" s="76" t="s">
        <v>809</v>
      </c>
      <c r="C78" s="319">
        <f>298900.58/196822.43*D57</f>
        <v>5343.9094871555035</v>
      </c>
      <c r="D78" s="369" t="s">
        <v>353</v>
      </c>
      <c r="E78" s="370"/>
    </row>
    <row r="79" ht="13.5" thickBot="1"/>
    <row r="80" spans="2:5" ht="24.75" thickBot="1">
      <c r="B80" s="143"/>
      <c r="C80" s="205" t="s">
        <v>104</v>
      </c>
      <c r="D80" s="236" t="s">
        <v>306</v>
      </c>
      <c r="E80" s="130" t="s">
        <v>305</v>
      </c>
    </row>
    <row r="81" spans="2:5" ht="13.5" thickBot="1">
      <c r="B81" s="363" t="s">
        <v>102</v>
      </c>
      <c r="C81" s="364"/>
      <c r="D81" s="364"/>
      <c r="E81" s="365"/>
    </row>
    <row r="82" spans="2:5" ht="12.75">
      <c r="B82" s="140" t="s">
        <v>285</v>
      </c>
      <c r="C82" s="141">
        <v>81263.26</v>
      </c>
      <c r="D82" s="218">
        <v>99598.86</v>
      </c>
      <c r="E82" s="44">
        <f>D82-C82</f>
        <v>18335.600000000006</v>
      </c>
    </row>
    <row r="83" spans="2:5" ht="12.75">
      <c r="B83" s="115" t="s">
        <v>637</v>
      </c>
      <c r="C83" s="5">
        <v>45079.19</v>
      </c>
      <c r="D83" s="99">
        <v>54233.63</v>
      </c>
      <c r="E83" s="45">
        <f>D83-C83</f>
        <v>9154.439999999995</v>
      </c>
    </row>
    <row r="84" spans="2:5" ht="13.5" thickBot="1">
      <c r="B84" s="157" t="s">
        <v>232</v>
      </c>
      <c r="C84" s="225">
        <v>0</v>
      </c>
      <c r="D84" s="235">
        <v>38306.23</v>
      </c>
      <c r="E84" s="46">
        <f>D84-C84</f>
        <v>38306.23</v>
      </c>
    </row>
    <row r="85" spans="2:5" ht="13.5" thickBot="1">
      <c r="B85" s="124"/>
      <c r="C85" s="118">
        <f>SUM(C82:C84)</f>
        <v>126342.45</v>
      </c>
      <c r="D85" s="118">
        <f>SUM(D82:D84)</f>
        <v>192138.72</v>
      </c>
      <c r="E85" s="119">
        <f>SUM(E82:E84)</f>
        <v>65796.27</v>
      </c>
    </row>
    <row r="86" spans="2:5" ht="13.5" thickBot="1">
      <c r="B86" s="393" t="s">
        <v>101</v>
      </c>
      <c r="C86" s="394"/>
      <c r="D86" s="394"/>
      <c r="E86" s="395"/>
    </row>
    <row r="87" spans="2:5" ht="12.75">
      <c r="B87" s="140" t="s">
        <v>285</v>
      </c>
      <c r="C87" s="223">
        <v>103225.9</v>
      </c>
      <c r="D87" s="285">
        <v>107142.05</v>
      </c>
      <c r="E87" s="44">
        <f>D87-C87</f>
        <v>3916.1500000000087</v>
      </c>
    </row>
    <row r="88" spans="2:5" ht="12.75">
      <c r="B88" s="115" t="s">
        <v>637</v>
      </c>
      <c r="C88" s="28">
        <v>58488.44</v>
      </c>
      <c r="D88" s="88">
        <v>60324.64</v>
      </c>
      <c r="E88" s="45">
        <f>D88-C88</f>
        <v>1836.199999999997</v>
      </c>
    </row>
    <row r="89" spans="2:5" ht="12.75">
      <c r="B89" s="116" t="s">
        <v>86</v>
      </c>
      <c r="C89" s="89">
        <v>6553.04</v>
      </c>
      <c r="D89" s="90">
        <v>6864.04</v>
      </c>
      <c r="E89" s="45">
        <f>D89-C89</f>
        <v>311</v>
      </c>
    </row>
    <row r="90" spans="2:5" ht="12.75">
      <c r="B90" s="116" t="s">
        <v>280</v>
      </c>
      <c r="C90" s="89">
        <v>1616.67</v>
      </c>
      <c r="D90" s="90">
        <v>2303.7</v>
      </c>
      <c r="E90" s="45">
        <f>D90-C90</f>
        <v>687.0299999999997</v>
      </c>
    </row>
    <row r="91" spans="2:5" ht="13.5" thickBot="1">
      <c r="B91" s="157" t="s">
        <v>232</v>
      </c>
      <c r="C91" s="263">
        <v>0</v>
      </c>
      <c r="D91" s="284">
        <v>39101.18</v>
      </c>
      <c r="E91" s="46">
        <f>D91-C91</f>
        <v>39101.18</v>
      </c>
    </row>
    <row r="92" spans="2:5" ht="13.5" thickBot="1">
      <c r="B92" s="124"/>
      <c r="C92" s="252">
        <f>SUM(C87:C91)</f>
        <v>169884.05000000002</v>
      </c>
      <c r="D92" s="252">
        <f>SUM(D87:D91)</f>
        <v>215735.61000000002</v>
      </c>
      <c r="E92" s="119">
        <f>SUM(E87:E91)</f>
        <v>45851.560000000005</v>
      </c>
    </row>
    <row r="93" spans="2:5" ht="13.5" thickBot="1">
      <c r="B93" s="363" t="s">
        <v>413</v>
      </c>
      <c r="C93" s="364"/>
      <c r="D93" s="364"/>
      <c r="E93" s="365"/>
    </row>
    <row r="94" spans="2:5" ht="12.75">
      <c r="B94" s="140" t="s">
        <v>285</v>
      </c>
      <c r="C94" s="223">
        <v>249426.14</v>
      </c>
      <c r="D94" s="223">
        <v>254558.76</v>
      </c>
      <c r="E94" s="44">
        <f aca="true" t="shared" si="0" ref="E94:E99">D94-C94</f>
        <v>5132.619999999995</v>
      </c>
    </row>
    <row r="95" spans="2:5" ht="12.75">
      <c r="B95" s="115" t="s">
        <v>637</v>
      </c>
      <c r="C95" s="28">
        <v>127408.14</v>
      </c>
      <c r="D95" s="28">
        <v>129141.61</v>
      </c>
      <c r="E95" s="45">
        <f t="shared" si="0"/>
        <v>1733.4700000000012</v>
      </c>
    </row>
    <row r="96" spans="2:5" ht="12.75">
      <c r="B96" s="115" t="s">
        <v>298</v>
      </c>
      <c r="C96" s="28">
        <v>17155.99</v>
      </c>
      <c r="D96" s="28">
        <v>17856.29</v>
      </c>
      <c r="E96" s="45">
        <f t="shared" si="0"/>
        <v>700.2999999999993</v>
      </c>
    </row>
    <row r="97" spans="2:5" ht="12.75">
      <c r="B97" s="115" t="s">
        <v>113</v>
      </c>
      <c r="C97" s="28">
        <v>5602.6</v>
      </c>
      <c r="D97" s="28">
        <v>4583.46</v>
      </c>
      <c r="E97" s="45">
        <f t="shared" si="0"/>
        <v>-1019.1400000000003</v>
      </c>
    </row>
    <row r="98" spans="2:5" ht="12.75">
      <c r="B98" s="115" t="s">
        <v>232</v>
      </c>
      <c r="C98" s="28">
        <v>106485.41</v>
      </c>
      <c r="D98" s="28">
        <v>105620.67</v>
      </c>
      <c r="E98" s="45">
        <f t="shared" si="0"/>
        <v>-864.7400000000052</v>
      </c>
    </row>
    <row r="99" spans="2:5" ht="26.25" thickBot="1">
      <c r="B99" s="266" t="s">
        <v>1046</v>
      </c>
      <c r="C99" s="224">
        <v>2500</v>
      </c>
      <c r="D99" s="267">
        <v>2500</v>
      </c>
      <c r="E99" s="246">
        <f t="shared" si="0"/>
        <v>0</v>
      </c>
    </row>
    <row r="100" spans="2:5" ht="13.5" thickBot="1">
      <c r="B100" s="124"/>
      <c r="C100" s="252">
        <f>SUM(C94:C99)</f>
        <v>508578.28</v>
      </c>
      <c r="D100" s="252">
        <f>SUM(D94:D99)</f>
        <v>514260.79</v>
      </c>
      <c r="E100" s="119">
        <f>SUM(E94:E99)</f>
        <v>5682.50999999999</v>
      </c>
    </row>
    <row r="101" spans="2:5" ht="13.5" thickBot="1">
      <c r="B101" s="363" t="s">
        <v>412</v>
      </c>
      <c r="C101" s="364"/>
      <c r="D101" s="364"/>
      <c r="E101" s="365"/>
    </row>
    <row r="102" spans="2:5" ht="12.75">
      <c r="B102" s="140" t="s">
        <v>285</v>
      </c>
      <c r="C102" s="223">
        <v>275898.91</v>
      </c>
      <c r="D102" s="223">
        <v>290774.88</v>
      </c>
      <c r="E102" s="253">
        <f>D102-C102</f>
        <v>14875.97000000003</v>
      </c>
    </row>
    <row r="103" spans="2:5" ht="12.75">
      <c r="B103" s="115" t="s">
        <v>637</v>
      </c>
      <c r="C103" s="28">
        <v>135711.53</v>
      </c>
      <c r="D103" s="28">
        <v>141376.75</v>
      </c>
      <c r="E103" s="53">
        <f>D103-C103</f>
        <v>5665.220000000001</v>
      </c>
    </row>
    <row r="104" spans="2:5" ht="12.75">
      <c r="B104" s="116" t="s">
        <v>408</v>
      </c>
      <c r="C104" s="28">
        <v>20427.58</v>
      </c>
      <c r="D104" s="28">
        <v>20909.72</v>
      </c>
      <c r="E104" s="81">
        <f>D104-C104</f>
        <v>482.1399999999994</v>
      </c>
    </row>
    <row r="105" spans="2:5" ht="13.5" thickBot="1">
      <c r="B105" s="157" t="s">
        <v>981</v>
      </c>
      <c r="C105" s="263">
        <v>114409.63</v>
      </c>
      <c r="D105" s="263">
        <v>80122.67</v>
      </c>
      <c r="E105" s="262">
        <f>D105-C105</f>
        <v>-34286.96000000001</v>
      </c>
    </row>
    <row r="106" spans="2:5" ht="13.5" thickBot="1">
      <c r="B106" s="187"/>
      <c r="C106" s="254">
        <f>SUM(C102:C105)</f>
        <v>546447.6499999999</v>
      </c>
      <c r="D106" s="255">
        <f>SUM(D102:D105)</f>
        <v>533184.02</v>
      </c>
      <c r="E106" s="256">
        <f>SUM(E102:E105)</f>
        <v>-13263.629999999976</v>
      </c>
    </row>
    <row r="107" spans="2:5" ht="13.5" thickBot="1">
      <c r="B107" s="363" t="s">
        <v>6</v>
      </c>
      <c r="C107" s="364"/>
      <c r="D107" s="364"/>
      <c r="E107" s="365"/>
    </row>
    <row r="108" spans="2:5" ht="12.75">
      <c r="B108" s="140" t="s">
        <v>285</v>
      </c>
      <c r="C108" s="212">
        <v>312238.21</v>
      </c>
      <c r="D108" s="223">
        <v>306659.55</v>
      </c>
      <c r="E108" s="253">
        <f aca="true" t="shared" si="1" ref="E108:E113">D108-C108</f>
        <v>-5578.660000000033</v>
      </c>
    </row>
    <row r="109" spans="2:5" ht="12.75">
      <c r="B109" s="115" t="s">
        <v>637</v>
      </c>
      <c r="C109" s="18">
        <v>149561.4</v>
      </c>
      <c r="D109" s="18">
        <v>149108.16</v>
      </c>
      <c r="E109" s="53">
        <f t="shared" si="1"/>
        <v>-453.2399999999907</v>
      </c>
    </row>
    <row r="110" spans="2:5" ht="12.75">
      <c r="B110" s="115" t="s">
        <v>408</v>
      </c>
      <c r="C110" s="18">
        <v>23649.89</v>
      </c>
      <c r="D110" s="18">
        <v>24262.74</v>
      </c>
      <c r="E110" s="53">
        <f t="shared" si="1"/>
        <v>612.8500000000022</v>
      </c>
    </row>
    <row r="111" spans="2:5" ht="12.75">
      <c r="B111" s="220" t="s">
        <v>163</v>
      </c>
      <c r="C111" s="112">
        <v>219948.85</v>
      </c>
      <c r="D111" s="112">
        <v>220026.98</v>
      </c>
      <c r="E111" s="53">
        <f t="shared" si="1"/>
        <v>78.13000000000466</v>
      </c>
    </row>
    <row r="112" spans="2:5" ht="12.75">
      <c r="B112" s="115" t="s">
        <v>1200</v>
      </c>
      <c r="C112" s="112">
        <v>20808.24</v>
      </c>
      <c r="D112" s="112">
        <v>20808.24</v>
      </c>
      <c r="E112" s="53">
        <f t="shared" si="1"/>
        <v>0</v>
      </c>
    </row>
    <row r="113" spans="2:5" ht="13.5" thickBot="1">
      <c r="B113" s="157" t="s">
        <v>232</v>
      </c>
      <c r="C113" s="224">
        <v>175177.31</v>
      </c>
      <c r="D113" s="224">
        <v>186602.88</v>
      </c>
      <c r="E113" s="262">
        <f t="shared" si="1"/>
        <v>11425.570000000007</v>
      </c>
    </row>
    <row r="114" spans="2:5" ht="13.5" thickBot="1">
      <c r="B114" s="187"/>
      <c r="C114" s="341">
        <f>SUM(C108:C113)</f>
        <v>901383.8999999999</v>
      </c>
      <c r="D114" s="254">
        <f>SUM(D108:D113)</f>
        <v>907468.5499999999</v>
      </c>
      <c r="E114" s="342">
        <f>SUM(E108:E113)</f>
        <v>6084.6499999999905</v>
      </c>
    </row>
    <row r="115" spans="2:5" ht="13.5" thickBot="1">
      <c r="B115" s="363" t="s">
        <v>822</v>
      </c>
      <c r="C115" s="364"/>
      <c r="D115" s="364"/>
      <c r="E115" s="365"/>
    </row>
    <row r="116" spans="2:5" ht="12.75">
      <c r="B116" s="140" t="s">
        <v>285</v>
      </c>
      <c r="C116" s="234">
        <v>200104.6</v>
      </c>
      <c r="D116" s="218">
        <v>191856.3</v>
      </c>
      <c r="E116" s="213">
        <f aca="true" t="shared" si="2" ref="E116:E121">D116-C116</f>
        <v>-8248.300000000017</v>
      </c>
    </row>
    <row r="117" spans="2:5" ht="12.75">
      <c r="B117" s="115" t="s">
        <v>637</v>
      </c>
      <c r="C117" s="10">
        <v>93796.74</v>
      </c>
      <c r="D117" s="99">
        <v>92646.46</v>
      </c>
      <c r="E117" s="214">
        <f t="shared" si="2"/>
        <v>-1150.2799999999988</v>
      </c>
    </row>
    <row r="118" spans="2:5" ht="12.75">
      <c r="B118" s="220" t="s">
        <v>633</v>
      </c>
      <c r="C118" s="125">
        <v>15751.06</v>
      </c>
      <c r="D118" s="125">
        <v>15216.53</v>
      </c>
      <c r="E118" s="214">
        <f t="shared" si="2"/>
        <v>-534.5299999999988</v>
      </c>
    </row>
    <row r="119" spans="2:5" ht="12.75">
      <c r="B119" s="220" t="s">
        <v>163</v>
      </c>
      <c r="C119" s="125">
        <v>545.8</v>
      </c>
      <c r="D119" s="125">
        <v>646.67</v>
      </c>
      <c r="E119" s="214">
        <f t="shared" si="2"/>
        <v>100.87</v>
      </c>
    </row>
    <row r="120" spans="2:5" ht="12.75">
      <c r="B120" s="115" t="s">
        <v>805</v>
      </c>
      <c r="C120" s="107">
        <v>75488.95</v>
      </c>
      <c r="D120" s="107">
        <v>77721.11</v>
      </c>
      <c r="E120" s="214">
        <f t="shared" si="2"/>
        <v>2232.1600000000035</v>
      </c>
    </row>
    <row r="121" spans="2:5" ht="13.5" thickBot="1">
      <c r="B121" s="157" t="s">
        <v>364</v>
      </c>
      <c r="C121" s="142">
        <v>20342.44</v>
      </c>
      <c r="D121" s="142">
        <v>22445.78</v>
      </c>
      <c r="E121" s="216">
        <f t="shared" si="2"/>
        <v>2103.34</v>
      </c>
    </row>
    <row r="122" spans="2:5" ht="13.5" thickBot="1">
      <c r="B122" s="187"/>
      <c r="C122" s="217">
        <f>SUM(C116:C121)</f>
        <v>406029.59</v>
      </c>
      <c r="D122" s="217">
        <f>SUM(D116:D121)</f>
        <v>400532.85</v>
      </c>
      <c r="E122" s="217">
        <f>SUM(E116:E121)</f>
        <v>-5496.740000000011</v>
      </c>
    </row>
    <row r="123" spans="2:5" ht="13.5" thickBot="1">
      <c r="B123" s="363" t="s">
        <v>726</v>
      </c>
      <c r="C123" s="364"/>
      <c r="D123" s="364"/>
      <c r="E123" s="365"/>
    </row>
    <row r="124" spans="2:5" ht="12.75">
      <c r="B124" s="140" t="s">
        <v>285</v>
      </c>
      <c r="C124" s="234">
        <v>322021.4</v>
      </c>
      <c r="D124" s="155">
        <v>346212.5</v>
      </c>
      <c r="E124" s="213">
        <f>D124-C124</f>
        <v>24191.099999999977</v>
      </c>
    </row>
    <row r="125" spans="2:5" ht="12.75">
      <c r="B125" s="115" t="s">
        <v>637</v>
      </c>
      <c r="C125" s="10">
        <f>157034+0.3</f>
        <v>157034.3</v>
      </c>
      <c r="D125" s="34">
        <f>169516.73+1.91</f>
        <v>169518.64</v>
      </c>
      <c r="E125" s="214">
        <f>D125-C125</f>
        <v>12484.340000000026</v>
      </c>
    </row>
    <row r="126" spans="2:5" ht="12.75">
      <c r="B126" s="115" t="s">
        <v>633</v>
      </c>
      <c r="C126" s="67">
        <v>26099.4</v>
      </c>
      <c r="D126" s="83">
        <v>27638.12</v>
      </c>
      <c r="E126" s="214">
        <f>D126-C126</f>
        <v>1538.7199999999975</v>
      </c>
    </row>
    <row r="127" spans="2:5" ht="12.75">
      <c r="B127" s="116" t="s">
        <v>364</v>
      </c>
      <c r="C127" s="94">
        <v>34513.72</v>
      </c>
      <c r="D127" s="83">
        <v>36652.22</v>
      </c>
      <c r="E127" s="214">
        <f>D127-C127</f>
        <v>2138.5</v>
      </c>
    </row>
    <row r="128" spans="2:5" ht="13.5" thickBot="1">
      <c r="B128" s="157" t="s">
        <v>805</v>
      </c>
      <c r="C128" s="225">
        <v>127170.31</v>
      </c>
      <c r="D128" s="226">
        <v>142643.73</v>
      </c>
      <c r="E128" s="216">
        <f>D128-C128</f>
        <v>15473.420000000013</v>
      </c>
    </row>
    <row r="129" spans="2:5" ht="13.5" thickBot="1">
      <c r="B129" s="187"/>
      <c r="C129" s="217">
        <f>SUM(C124:C128)</f>
        <v>666839.1300000001</v>
      </c>
      <c r="D129" s="217">
        <f>SUM(D124:D128)</f>
        <v>722665.21</v>
      </c>
      <c r="E129" s="217">
        <f>SUM(E124:E128)</f>
        <v>55826.080000000016</v>
      </c>
    </row>
    <row r="130" spans="2:5" ht="13.5" thickBot="1">
      <c r="B130" s="366" t="s">
        <v>379</v>
      </c>
      <c r="C130" s="367"/>
      <c r="D130" s="367"/>
      <c r="E130" s="368"/>
    </row>
    <row r="131" spans="2:5" ht="13.5" thickBot="1">
      <c r="B131" s="153"/>
      <c r="C131" s="117">
        <f>C122+C114+C106+C100+C92+C85+C129</f>
        <v>3325505.05</v>
      </c>
      <c r="D131" s="117">
        <f>D122+D114+D106+D100+D92+D85+D129</f>
        <v>3485985.75</v>
      </c>
      <c r="E131" s="117">
        <f>E122+E114+E106+E100+E92+E85+E129</f>
        <v>160480.7</v>
      </c>
    </row>
  </sheetData>
  <sheetProtection/>
  <mergeCells count="24">
    <mergeCell ref="A6:E6"/>
    <mergeCell ref="A18:D18"/>
    <mergeCell ref="D22:E22"/>
    <mergeCell ref="A2:B2"/>
    <mergeCell ref="C2:E2"/>
    <mergeCell ref="C3:E3"/>
    <mergeCell ref="B4:E4"/>
    <mergeCell ref="D78:E78"/>
    <mergeCell ref="D74:E74"/>
    <mergeCell ref="D75:E75"/>
    <mergeCell ref="D76:E76"/>
    <mergeCell ref="D77:E77"/>
    <mergeCell ref="D70:E70"/>
    <mergeCell ref="D71:E71"/>
    <mergeCell ref="D72:E72"/>
    <mergeCell ref="D73:E73"/>
    <mergeCell ref="B115:E115"/>
    <mergeCell ref="B130:E130"/>
    <mergeCell ref="B123:E123"/>
    <mergeCell ref="B81:E81"/>
    <mergeCell ref="B86:E86"/>
    <mergeCell ref="B93:E93"/>
    <mergeCell ref="B101:E101"/>
    <mergeCell ref="B107:E107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7"/>
  <sheetViews>
    <sheetView zoomScalePageLayoutView="0" workbookViewId="0" topLeftCell="A100">
      <selection activeCell="B15" sqref="B15"/>
    </sheetView>
  </sheetViews>
  <sheetFormatPr defaultColWidth="9.00390625" defaultRowHeight="12.75"/>
  <cols>
    <col min="1" max="1" width="2.875" style="0" customWidth="1"/>
    <col min="2" max="2" width="56.75390625" style="0" customWidth="1"/>
    <col min="3" max="3" width="10.625" style="0" customWidth="1"/>
    <col min="4" max="4" width="12.253906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9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478</v>
      </c>
      <c r="C7" s="26"/>
      <c r="D7" s="24"/>
    </row>
    <row r="8" spans="1:4" ht="15">
      <c r="A8" s="26"/>
      <c r="B8" s="27" t="s">
        <v>115</v>
      </c>
      <c r="C8" s="38">
        <v>3344.2</v>
      </c>
      <c r="D8" s="92" t="s">
        <v>116</v>
      </c>
    </row>
    <row r="9" spans="1:4" ht="15">
      <c r="A9" s="26"/>
      <c r="B9" s="27" t="s">
        <v>654</v>
      </c>
      <c r="C9" s="93">
        <v>162.6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397395.71</v>
      </c>
      <c r="D12" s="155">
        <v>393796.32</v>
      </c>
      <c r="E12" s="242">
        <f aca="true" t="shared" si="0" ref="E12:E19">D12-C12</f>
        <v>-3599.390000000014</v>
      </c>
    </row>
    <row r="13" spans="1:5" ht="12.75">
      <c r="A13" s="84">
        <v>2</v>
      </c>
      <c r="B13" s="5" t="s">
        <v>637</v>
      </c>
      <c r="C13" s="10">
        <f>201761.32+2.49</f>
        <v>201763.81</v>
      </c>
      <c r="D13" s="34">
        <f>201577.87+66.67</f>
        <v>201644.54</v>
      </c>
      <c r="E13" s="57">
        <f t="shared" si="0"/>
        <v>-119.26999999998952</v>
      </c>
    </row>
    <row r="14" spans="1:5" ht="12.75">
      <c r="A14" s="87">
        <v>3</v>
      </c>
      <c r="B14" s="5" t="s">
        <v>633</v>
      </c>
      <c r="C14" s="67">
        <v>40455.86</v>
      </c>
      <c r="D14" s="83">
        <v>38416.17</v>
      </c>
      <c r="E14" s="57">
        <f t="shared" si="0"/>
        <v>-2039.6900000000023</v>
      </c>
    </row>
    <row r="15" spans="1:5" ht="12.75">
      <c r="A15" s="84">
        <v>4</v>
      </c>
      <c r="B15" s="65" t="s">
        <v>364</v>
      </c>
      <c r="C15" s="94">
        <v>66833.1</v>
      </c>
      <c r="D15" s="83">
        <v>58332.15</v>
      </c>
      <c r="E15" s="57">
        <f t="shared" si="0"/>
        <v>-8500.950000000004</v>
      </c>
    </row>
    <row r="16" spans="1:5" ht="12.75">
      <c r="A16" s="87">
        <v>5</v>
      </c>
      <c r="B16" s="351" t="s">
        <v>415</v>
      </c>
      <c r="C16" s="258">
        <v>6101.82</v>
      </c>
      <c r="D16" s="258">
        <v>7335.26</v>
      </c>
      <c r="E16" s="66">
        <f t="shared" si="0"/>
        <v>1233.4400000000005</v>
      </c>
    </row>
    <row r="17" spans="1:5" ht="12.75" customHeight="1">
      <c r="A17" s="87">
        <v>6</v>
      </c>
      <c r="B17" s="351" t="s">
        <v>1007</v>
      </c>
      <c r="C17" s="258">
        <v>7771.07</v>
      </c>
      <c r="D17" s="258">
        <v>7771.07</v>
      </c>
      <c r="E17" s="66">
        <f t="shared" si="0"/>
        <v>0</v>
      </c>
    </row>
    <row r="18" spans="1:5" ht="12.75">
      <c r="A18" s="84">
        <v>7</v>
      </c>
      <c r="B18" s="65" t="s">
        <v>29</v>
      </c>
      <c r="C18" s="94">
        <f>2400+3600+5400</f>
        <v>11400</v>
      </c>
      <c r="D18" s="83">
        <f>2400+3300+5400</f>
        <v>11100</v>
      </c>
      <c r="E18" s="57">
        <f t="shared" si="0"/>
        <v>-300</v>
      </c>
    </row>
    <row r="19" spans="1:5" ht="13.5" thickBot="1">
      <c r="A19" s="87">
        <v>8</v>
      </c>
      <c r="B19" s="5" t="s">
        <v>805</v>
      </c>
      <c r="C19" s="67">
        <f>20483.62+11600</f>
        <v>32083.62</v>
      </c>
      <c r="D19" s="83">
        <f>30942.76+9339.83</f>
        <v>40282.59</v>
      </c>
      <c r="E19" s="57">
        <f t="shared" si="0"/>
        <v>8198.969999999998</v>
      </c>
    </row>
    <row r="20" spans="1:5" ht="13.5" thickBot="1">
      <c r="A20" s="208"/>
      <c r="B20" s="209"/>
      <c r="C20" s="135">
        <f>SUM(C12:C19)</f>
        <v>763804.9899999999</v>
      </c>
      <c r="D20" s="135">
        <f>SUM(D12:D19)</f>
        <v>758678.1</v>
      </c>
      <c r="E20" s="136">
        <f>SUM(E12:E19)</f>
        <v>-5126.890000000012</v>
      </c>
    </row>
    <row r="21" spans="1:5" ht="12.75">
      <c r="A21" s="385" t="s">
        <v>793</v>
      </c>
      <c r="B21" s="386"/>
      <c r="C21" s="386"/>
      <c r="D21" s="386"/>
      <c r="E21" s="108">
        <f>E137</f>
        <v>185800.03000000003</v>
      </c>
    </row>
    <row r="22" spans="1:5" ht="12.75">
      <c r="A22" s="387" t="s">
        <v>794</v>
      </c>
      <c r="B22" s="384"/>
      <c r="C22" s="384"/>
      <c r="D22" s="384"/>
      <c r="E22" s="259">
        <v>191504.37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25.5">
      <c r="A25" s="86">
        <v>1</v>
      </c>
      <c r="B25" s="64" t="s">
        <v>491</v>
      </c>
      <c r="C25" s="80">
        <f>C63</f>
        <v>339076.45</v>
      </c>
      <c r="E25" s="29"/>
    </row>
    <row r="26" spans="1:5" ht="25.5">
      <c r="A26" s="91">
        <v>2</v>
      </c>
      <c r="B26" s="25" t="s">
        <v>492</v>
      </c>
      <c r="C26" s="102">
        <f>C71</f>
        <v>25018</v>
      </c>
      <c r="D26" s="388"/>
      <c r="E26" s="389"/>
    </row>
    <row r="27" spans="1:5" ht="12.75">
      <c r="A27" s="84">
        <v>3</v>
      </c>
      <c r="B27" s="9" t="s">
        <v>649</v>
      </c>
      <c r="C27" s="48">
        <v>5906.79</v>
      </c>
      <c r="E27" s="29"/>
    </row>
    <row r="28" spans="1:5" ht="12.75">
      <c r="A28" s="84">
        <v>4</v>
      </c>
      <c r="B28" s="9" t="s">
        <v>122</v>
      </c>
      <c r="C28" s="48">
        <f>(C8*0.55*12)</f>
        <v>22071.72</v>
      </c>
      <c r="E28" s="29"/>
    </row>
    <row r="29" spans="1:5" ht="12.75">
      <c r="A29" s="84">
        <v>5</v>
      </c>
      <c r="B29" s="9" t="s">
        <v>658</v>
      </c>
      <c r="C29" s="79">
        <v>51347.4</v>
      </c>
      <c r="E29" s="29"/>
    </row>
    <row r="30" spans="1:5" ht="25.5">
      <c r="A30" s="91">
        <v>6</v>
      </c>
      <c r="B30" s="25" t="s">
        <v>1128</v>
      </c>
      <c r="C30" s="96">
        <v>4800</v>
      </c>
      <c r="E30" s="29"/>
    </row>
    <row r="31" spans="1:5" ht="25.5">
      <c r="A31" s="91">
        <v>7</v>
      </c>
      <c r="B31" s="25" t="s">
        <v>335</v>
      </c>
      <c r="C31" s="96">
        <v>8400</v>
      </c>
      <c r="E31" s="29"/>
    </row>
    <row r="32" spans="1:5" ht="12.75">
      <c r="A32" s="91">
        <v>8</v>
      </c>
      <c r="B32" s="25" t="s">
        <v>363</v>
      </c>
      <c r="C32" s="79">
        <v>7941.39</v>
      </c>
      <c r="E32" s="29"/>
    </row>
    <row r="33" spans="1:5" ht="25.5">
      <c r="A33" s="91">
        <v>9</v>
      </c>
      <c r="B33" s="25" t="s">
        <v>327</v>
      </c>
      <c r="C33" s="79">
        <v>6865.63</v>
      </c>
      <c r="E33" s="29"/>
    </row>
    <row r="34" spans="1:5" ht="12.75">
      <c r="A34" s="84">
        <v>10</v>
      </c>
      <c r="B34" s="25" t="s">
        <v>1175</v>
      </c>
      <c r="C34" s="79">
        <v>7831.12</v>
      </c>
      <c r="E34" s="29"/>
    </row>
    <row r="35" spans="1:5" ht="12.75">
      <c r="A35" s="91">
        <v>11</v>
      </c>
      <c r="B35" s="25" t="s">
        <v>356</v>
      </c>
      <c r="C35" s="349">
        <v>600</v>
      </c>
      <c r="E35" s="29"/>
    </row>
    <row r="36" spans="1:3" ht="12.75">
      <c r="A36" s="50"/>
      <c r="B36" s="20" t="s">
        <v>629</v>
      </c>
      <c r="C36" s="51">
        <f>SUM(C25:C35)</f>
        <v>479858.5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(C20)*15%</f>
        <v>114570.74849999997</v>
      </c>
    </row>
    <row r="39" spans="1:3" ht="12.75">
      <c r="A39" s="84">
        <v>2</v>
      </c>
      <c r="B39" s="9" t="s">
        <v>813</v>
      </c>
      <c r="C39" s="48">
        <f>C78</f>
        <v>7243.05498111723</v>
      </c>
    </row>
    <row r="40" spans="1:3" ht="12.75">
      <c r="A40" s="84">
        <v>3</v>
      </c>
      <c r="B40" s="9" t="s">
        <v>653</v>
      </c>
      <c r="C40" s="48">
        <f>C79</f>
        <v>7867.030940796434</v>
      </c>
    </row>
    <row r="41" spans="1:3" ht="12.75">
      <c r="A41" s="84">
        <v>4</v>
      </c>
      <c r="B41" s="9" t="s">
        <v>1114</v>
      </c>
      <c r="C41" s="52">
        <f>C80</f>
        <v>15970.387352346583</v>
      </c>
    </row>
    <row r="42" spans="1:3" ht="12.75">
      <c r="A42" s="84">
        <v>5</v>
      </c>
      <c r="B42" s="9" t="s">
        <v>162</v>
      </c>
      <c r="C42" s="52">
        <f>C81</f>
        <v>12236.73136519596</v>
      </c>
    </row>
    <row r="43" spans="1:3" ht="12.75">
      <c r="A43" s="84">
        <v>6</v>
      </c>
      <c r="B43" s="9" t="s">
        <v>1051</v>
      </c>
      <c r="C43" s="48">
        <f>C82+C84+C85+C86+C83</f>
        <v>20765.68139497885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178653.63453443506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C20*2%</f>
        <v>15276.099799999998</v>
      </c>
    </row>
    <row r="51" spans="1:3" ht="12.75">
      <c r="A51" s="84">
        <v>2</v>
      </c>
      <c r="B51" s="9" t="s">
        <v>391</v>
      </c>
      <c r="C51" s="48">
        <f>C52</f>
        <v>44911.733411999994</v>
      </c>
    </row>
    <row r="52" spans="1:4" ht="12.75">
      <c r="A52" s="49"/>
      <c r="B52" s="5" t="s">
        <v>334</v>
      </c>
      <c r="C52" s="41">
        <f>(C20-C50)*6%</f>
        <v>44911.733411999994</v>
      </c>
      <c r="D52" s="19"/>
    </row>
    <row r="53" spans="1:3" ht="13.5" thickBot="1">
      <c r="A53" s="54"/>
      <c r="B53" s="55" t="s">
        <v>967</v>
      </c>
      <c r="C53" s="56">
        <f>C50+C51</f>
        <v>60187.83321199999</v>
      </c>
    </row>
    <row r="54" spans="1:3" ht="12.75">
      <c r="A54" s="23"/>
      <c r="B54" s="4" t="s">
        <v>288</v>
      </c>
      <c r="C54" s="11">
        <f>C36+C48+C53</f>
        <v>718699.9677464351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">
        <v>169720.11</v>
      </c>
    </row>
    <row r="57" spans="1:3" ht="15">
      <c r="A57" s="23"/>
      <c r="B57" s="14" t="s">
        <v>180</v>
      </c>
      <c r="C57" s="11">
        <f>C54+C56-C20</f>
        <v>124615.0877464352</v>
      </c>
    </row>
    <row r="58" ht="12.75">
      <c r="B58" s="1" t="s">
        <v>85</v>
      </c>
    </row>
    <row r="59" ht="15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479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3506.7999999999997</v>
      </c>
      <c r="E62" t="s">
        <v>116</v>
      </c>
    </row>
    <row r="63" spans="1:5" ht="12.75">
      <c r="A63" s="60" t="s">
        <v>218</v>
      </c>
      <c r="B63" s="39" t="s">
        <v>165</v>
      </c>
      <c r="C63" s="47">
        <v>339076.45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41937.5</v>
      </c>
      <c r="D65" s="15"/>
      <c r="E65" s="15"/>
    </row>
    <row r="66" spans="1:5" ht="12.75">
      <c r="A66" s="62" t="s">
        <v>166</v>
      </c>
      <c r="B66" s="6" t="s">
        <v>341</v>
      </c>
      <c r="C66" s="41">
        <v>16082.64</v>
      </c>
      <c r="D66" s="15"/>
      <c r="E66" s="15"/>
    </row>
    <row r="67" spans="1:5" ht="12.75">
      <c r="A67" s="62" t="s">
        <v>166</v>
      </c>
      <c r="B67" s="6" t="s">
        <v>210</v>
      </c>
      <c r="C67" s="41">
        <v>7983.87</v>
      </c>
      <c r="D67" s="15"/>
      <c r="E67" s="15"/>
    </row>
    <row r="68" spans="1:5" ht="12.75">
      <c r="A68" s="62" t="s">
        <v>166</v>
      </c>
      <c r="B68" s="6" t="s">
        <v>1222</v>
      </c>
      <c r="C68" s="41">
        <v>75418.86</v>
      </c>
      <c r="D68" s="15"/>
      <c r="E68" s="15"/>
    </row>
    <row r="69" spans="1:5" ht="12.75">
      <c r="A69" s="62" t="s">
        <v>166</v>
      </c>
      <c r="B69" s="6" t="s">
        <v>489</v>
      </c>
      <c r="C69" s="41">
        <v>3033.33</v>
      </c>
      <c r="D69" s="15"/>
      <c r="E69" s="15"/>
    </row>
    <row r="70" spans="1:5" ht="13.5" thickBot="1">
      <c r="A70" s="63" t="s">
        <v>166</v>
      </c>
      <c r="B70" s="42" t="s">
        <v>818</v>
      </c>
      <c r="C70" s="46">
        <v>3529.87</v>
      </c>
      <c r="D70" s="15"/>
      <c r="E70" s="15"/>
    </row>
    <row r="71" spans="1:5" ht="12.75">
      <c r="A71" s="60" t="s">
        <v>328</v>
      </c>
      <c r="B71" s="39" t="s">
        <v>343</v>
      </c>
      <c r="C71" s="47">
        <v>25018</v>
      </c>
      <c r="D71" s="15"/>
      <c r="E71" s="12"/>
    </row>
    <row r="72" spans="1:5" ht="12.75">
      <c r="A72" s="61"/>
      <c r="B72" s="6" t="s">
        <v>118</v>
      </c>
      <c r="C72" s="41"/>
      <c r="D72" s="15"/>
      <c r="E72" s="12"/>
    </row>
    <row r="73" spans="1:5" ht="12.75">
      <c r="A73" s="62" t="s">
        <v>166</v>
      </c>
      <c r="B73" s="6" t="s">
        <v>380</v>
      </c>
      <c r="C73" s="41">
        <v>1961</v>
      </c>
      <c r="D73" s="15"/>
      <c r="E73" s="12"/>
    </row>
    <row r="74" spans="1:5" ht="12.75">
      <c r="A74" s="62" t="s">
        <v>166</v>
      </c>
      <c r="B74" s="6" t="s">
        <v>490</v>
      </c>
      <c r="C74" s="41">
        <v>4160.29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191.22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178653.63453443503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C38</f>
        <v>114570.74849999997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7243.05498111723</v>
      </c>
      <c r="D78" s="375" t="s">
        <v>480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7867.030940796434</v>
      </c>
      <c r="D79" s="377" t="s">
        <v>481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15970.387352346583</v>
      </c>
      <c r="D80" s="379" t="s">
        <v>482</v>
      </c>
      <c r="E80" s="380"/>
    </row>
    <row r="81" spans="1:5" ht="25.5">
      <c r="A81" s="73" t="s">
        <v>166</v>
      </c>
      <c r="B81" s="72" t="s">
        <v>231</v>
      </c>
      <c r="C81" s="318">
        <f>845684.35/242356.05*D62</f>
        <v>12236.73136519596</v>
      </c>
      <c r="D81" s="381" t="s">
        <v>483</v>
      </c>
      <c r="E81" s="382"/>
    </row>
    <row r="82" spans="1:5" ht="12.75">
      <c r="A82" s="73" t="s">
        <v>166</v>
      </c>
      <c r="B82" s="74" t="s">
        <v>808</v>
      </c>
      <c r="C82" s="318">
        <f>642562.44/242356.05*D62</f>
        <v>9297.63447040831</v>
      </c>
      <c r="D82" s="371" t="s">
        <v>484</v>
      </c>
      <c r="E82" s="372"/>
    </row>
    <row r="83" spans="1:5" ht="12.75">
      <c r="A83" s="73" t="s">
        <v>166</v>
      </c>
      <c r="B83" s="74" t="s">
        <v>826</v>
      </c>
      <c r="C83" s="318">
        <f>51615/196822.43*D62</f>
        <v>919.6283269137567</v>
      </c>
      <c r="D83" s="371" t="s">
        <v>485</v>
      </c>
      <c r="E83" s="372"/>
    </row>
    <row r="84" spans="1:5" ht="12.75">
      <c r="A84" s="73" t="s">
        <v>166</v>
      </c>
      <c r="B84" s="74" t="s">
        <v>655</v>
      </c>
      <c r="C84" s="318">
        <f>129011.28/196822.43*D62</f>
        <v>2298.603653577491</v>
      </c>
      <c r="D84" s="371" t="s">
        <v>486</v>
      </c>
      <c r="E84" s="372"/>
    </row>
    <row r="85" spans="1:5" ht="12.75">
      <c r="A85" s="73" t="s">
        <v>166</v>
      </c>
      <c r="B85" s="74" t="s">
        <v>656</v>
      </c>
      <c r="C85" s="318">
        <f>164128/196822.43*D62</f>
        <v>2924.2808881081282</v>
      </c>
      <c r="D85" s="373" t="s">
        <v>487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298900.58/196822.43*D62</f>
        <v>5325.534055971161</v>
      </c>
      <c r="D86" s="369" t="s">
        <v>488</v>
      </c>
      <c r="E86" s="370"/>
    </row>
    <row r="87" ht="13.5" thickBot="1"/>
    <row r="88" spans="2:5" ht="26.25" thickBot="1">
      <c r="B88" s="143"/>
      <c r="C88" s="159" t="s">
        <v>104</v>
      </c>
      <c r="D88" s="161" t="s">
        <v>306</v>
      </c>
      <c r="E88" s="160" t="s">
        <v>1115</v>
      </c>
    </row>
    <row r="89" spans="2:5" ht="13.5" thickBot="1">
      <c r="B89" s="363" t="s">
        <v>400</v>
      </c>
      <c r="C89" s="364"/>
      <c r="D89" s="364"/>
      <c r="E89" s="365"/>
    </row>
    <row r="90" spans="2:5" ht="12.75">
      <c r="B90" s="140" t="s">
        <v>285</v>
      </c>
      <c r="C90" s="212">
        <v>218370.94</v>
      </c>
      <c r="D90" s="212">
        <v>247189.47</v>
      </c>
      <c r="E90" s="213">
        <f>D90-C90</f>
        <v>28818.53</v>
      </c>
    </row>
    <row r="91" spans="2:5" ht="12.75">
      <c r="B91" s="115" t="s">
        <v>637</v>
      </c>
      <c r="C91" s="18">
        <v>124742.49</v>
      </c>
      <c r="D91" s="18">
        <v>139821.62</v>
      </c>
      <c r="E91" s="214">
        <f>D91-C91</f>
        <v>15079.12999999999</v>
      </c>
    </row>
    <row r="92" spans="2:5" ht="12.75">
      <c r="B92" s="115" t="s">
        <v>633</v>
      </c>
      <c r="C92" s="18">
        <v>1880.03</v>
      </c>
      <c r="D92" s="18">
        <v>2158.5</v>
      </c>
      <c r="E92" s="214">
        <f>D92-C92</f>
        <v>278.47</v>
      </c>
    </row>
    <row r="93" spans="2:5" ht="12.75">
      <c r="B93" s="115" t="s">
        <v>805</v>
      </c>
      <c r="C93" s="18">
        <v>9612.32</v>
      </c>
      <c r="D93" s="18">
        <v>13004.62</v>
      </c>
      <c r="E93" s="214">
        <f>D93-C93</f>
        <v>3392.300000000001</v>
      </c>
    </row>
    <row r="94" spans="2:5" ht="13.5" thickBot="1">
      <c r="B94" s="157" t="s">
        <v>113</v>
      </c>
      <c r="C94" s="215">
        <v>19461.67</v>
      </c>
      <c r="D94" s="215">
        <v>21216</v>
      </c>
      <c r="E94" s="216">
        <f>D94-C94</f>
        <v>1754.3300000000017</v>
      </c>
    </row>
    <row r="95" spans="2:5" ht="13.5" thickBot="1">
      <c r="B95" s="177"/>
      <c r="C95" s="179">
        <f>SUM(C90:C94)</f>
        <v>374067.45</v>
      </c>
      <c r="D95" s="179">
        <f>SUM(D90:D94)</f>
        <v>423390.20999999996</v>
      </c>
      <c r="E95" s="179">
        <f>SUM(E90:E94)</f>
        <v>49322.759999999995</v>
      </c>
    </row>
    <row r="96" spans="2:5" ht="13.5" thickBot="1">
      <c r="B96" s="363" t="s">
        <v>401</v>
      </c>
      <c r="C96" s="364"/>
      <c r="D96" s="364"/>
      <c r="E96" s="365"/>
    </row>
    <row r="97" spans="2:5" ht="12.75">
      <c r="B97" s="140" t="s">
        <v>285</v>
      </c>
      <c r="C97" s="141">
        <v>309201.13</v>
      </c>
      <c r="D97" s="218">
        <v>319446.18</v>
      </c>
      <c r="E97" s="213">
        <f aca="true" t="shared" si="1" ref="E97:E103">D97-C97</f>
        <v>10245.049999999988</v>
      </c>
    </row>
    <row r="98" spans="2:5" ht="12.75">
      <c r="B98" s="115" t="s">
        <v>637</v>
      </c>
      <c r="C98" s="5">
        <v>170494.04</v>
      </c>
      <c r="D98" s="99">
        <v>177170.1</v>
      </c>
      <c r="E98" s="214">
        <f t="shared" si="1"/>
        <v>6676.059999999998</v>
      </c>
    </row>
    <row r="99" spans="2:5" ht="12.75">
      <c r="B99" s="115" t="s">
        <v>633</v>
      </c>
      <c r="C99" s="5">
        <v>16026</v>
      </c>
      <c r="D99" s="99">
        <v>19033.28</v>
      </c>
      <c r="E99" s="214">
        <f t="shared" si="1"/>
        <v>3007.279999999999</v>
      </c>
    </row>
    <row r="100" spans="2:5" ht="12.75">
      <c r="B100" s="115" t="s">
        <v>113</v>
      </c>
      <c r="C100" s="5">
        <v>1871.23</v>
      </c>
      <c r="D100" s="99">
        <v>289.99</v>
      </c>
      <c r="E100" s="214">
        <f t="shared" si="1"/>
        <v>-1581.24</v>
      </c>
    </row>
    <row r="101" spans="2:5" ht="12.75">
      <c r="B101" s="115" t="s">
        <v>805</v>
      </c>
      <c r="C101" s="10">
        <v>22404.62</v>
      </c>
      <c r="D101" s="98">
        <v>22616.94</v>
      </c>
      <c r="E101" s="214">
        <f t="shared" si="1"/>
        <v>212.3199999999997</v>
      </c>
    </row>
    <row r="102" spans="2:5" ht="25.5">
      <c r="B102" s="220" t="s">
        <v>119</v>
      </c>
      <c r="C102" s="125">
        <v>2500</v>
      </c>
      <c r="D102" s="125">
        <v>2500</v>
      </c>
      <c r="E102" s="128">
        <f t="shared" si="1"/>
        <v>0</v>
      </c>
    </row>
    <row r="103" spans="2:5" ht="13.5" thickBot="1">
      <c r="B103" s="156" t="s">
        <v>163</v>
      </c>
      <c r="C103" s="142">
        <v>49928.52</v>
      </c>
      <c r="D103" s="142">
        <v>58859.18</v>
      </c>
      <c r="E103" s="219">
        <f t="shared" si="1"/>
        <v>8930.660000000003</v>
      </c>
    </row>
    <row r="104" spans="2:5" ht="13.5" thickBot="1">
      <c r="B104" s="187"/>
      <c r="C104" s="217">
        <f>SUM(C97:C103)</f>
        <v>572425.54</v>
      </c>
      <c r="D104" s="217">
        <f>SUM(D97:D103)</f>
        <v>599915.67</v>
      </c>
      <c r="E104" s="217">
        <f>SUM(E97:E103)</f>
        <v>27490.129999999986</v>
      </c>
    </row>
    <row r="105" spans="2:5" ht="13.5" thickBot="1">
      <c r="B105" s="363" t="s">
        <v>219</v>
      </c>
      <c r="C105" s="364"/>
      <c r="D105" s="364"/>
      <c r="E105" s="365"/>
    </row>
    <row r="106" spans="2:5" ht="12.75">
      <c r="B106" s="140" t="s">
        <v>285</v>
      </c>
      <c r="C106" s="141">
        <v>330735.56</v>
      </c>
      <c r="D106" s="155">
        <v>341240.8</v>
      </c>
      <c r="E106" s="213">
        <f aca="true" t="shared" si="2" ref="E106:E112">D106-C106</f>
        <v>10505.23999999999</v>
      </c>
    </row>
    <row r="107" spans="2:5" ht="12.75">
      <c r="B107" s="115" t="s">
        <v>637</v>
      </c>
      <c r="C107" s="5">
        <v>185887.78</v>
      </c>
      <c r="D107" s="33">
        <v>193139.86</v>
      </c>
      <c r="E107" s="214">
        <f t="shared" si="2"/>
        <v>7252.079999999987</v>
      </c>
    </row>
    <row r="108" spans="2:5" ht="12.75">
      <c r="B108" s="115" t="s">
        <v>633</v>
      </c>
      <c r="C108" s="65">
        <v>27266.99</v>
      </c>
      <c r="D108" s="70">
        <v>27551.76</v>
      </c>
      <c r="E108" s="214">
        <f t="shared" si="2"/>
        <v>284.7699999999968</v>
      </c>
    </row>
    <row r="109" spans="2:5" ht="12.75">
      <c r="B109" s="115" t="s">
        <v>113</v>
      </c>
      <c r="C109" s="65">
        <v>6304.86</v>
      </c>
      <c r="D109" s="70">
        <v>5472</v>
      </c>
      <c r="E109" s="214">
        <f t="shared" si="2"/>
        <v>-832.8599999999997</v>
      </c>
    </row>
    <row r="110" spans="2:5" ht="12.75">
      <c r="B110" s="115" t="s">
        <v>805</v>
      </c>
      <c r="C110" s="67">
        <v>26907.18</v>
      </c>
      <c r="D110" s="83">
        <v>25131.84</v>
      </c>
      <c r="E110" s="214">
        <f t="shared" si="2"/>
        <v>-1775.3400000000001</v>
      </c>
    </row>
    <row r="111" spans="2:5" ht="12.75">
      <c r="B111" s="278" t="s">
        <v>163</v>
      </c>
      <c r="C111" s="122">
        <v>37654.7</v>
      </c>
      <c r="D111" s="122">
        <v>25020.61</v>
      </c>
      <c r="E111" s="128">
        <f t="shared" si="2"/>
        <v>-12634.089999999997</v>
      </c>
    </row>
    <row r="112" spans="2:5" ht="13.5" thickBot="1">
      <c r="B112" s="156" t="s">
        <v>279</v>
      </c>
      <c r="C112" s="229">
        <v>4950</v>
      </c>
      <c r="D112" s="229">
        <v>4950</v>
      </c>
      <c r="E112" s="219">
        <f t="shared" si="2"/>
        <v>0</v>
      </c>
    </row>
    <row r="113" spans="2:5" ht="13.5" thickBot="1">
      <c r="B113" s="187"/>
      <c r="C113" s="217">
        <f>SUM(C106:C112)</f>
        <v>619707.07</v>
      </c>
      <c r="D113" s="217">
        <f>SUM(D106:D112)</f>
        <v>622506.8699999999</v>
      </c>
      <c r="E113" s="217">
        <f>SUM(E106:E112)</f>
        <v>2799.7999999999774</v>
      </c>
    </row>
    <row r="114" spans="2:5" ht="13.5" thickBot="1">
      <c r="B114" s="363" t="s">
        <v>392</v>
      </c>
      <c r="C114" s="364"/>
      <c r="D114" s="364"/>
      <c r="E114" s="365"/>
    </row>
    <row r="115" spans="2:5" ht="12.75">
      <c r="B115" s="140" t="s">
        <v>285</v>
      </c>
      <c r="C115" s="141">
        <v>508547.11</v>
      </c>
      <c r="D115" s="155">
        <v>504004.52</v>
      </c>
      <c r="E115" s="213">
        <f aca="true" t="shared" si="3" ref="E115:E124">D115-C115</f>
        <v>-4542.589999999967</v>
      </c>
    </row>
    <row r="116" spans="2:5" ht="12.75">
      <c r="B116" s="115" t="s">
        <v>637</v>
      </c>
      <c r="C116" s="5">
        <v>251890.92</v>
      </c>
      <c r="D116" s="33">
        <v>245296.25</v>
      </c>
      <c r="E116" s="214">
        <f t="shared" si="3"/>
        <v>-6594.670000000013</v>
      </c>
    </row>
    <row r="117" spans="2:5" ht="12.75">
      <c r="B117" s="115" t="s">
        <v>633</v>
      </c>
      <c r="C117" s="65">
        <v>51029.79</v>
      </c>
      <c r="D117" s="70">
        <v>50638</v>
      </c>
      <c r="E117" s="214">
        <f t="shared" si="3"/>
        <v>-391.7900000000009</v>
      </c>
    </row>
    <row r="118" spans="2:5" ht="12.75">
      <c r="B118" s="115" t="s">
        <v>163</v>
      </c>
      <c r="C118" s="65">
        <v>12252.66</v>
      </c>
      <c r="D118" s="70">
        <v>10003.4</v>
      </c>
      <c r="E118" s="214">
        <f t="shared" si="3"/>
        <v>-2249.26</v>
      </c>
    </row>
    <row r="119" spans="2:5" ht="12.75">
      <c r="B119" s="115" t="s">
        <v>805</v>
      </c>
      <c r="C119" s="67">
        <v>49672.16</v>
      </c>
      <c r="D119" s="83">
        <v>50077.46</v>
      </c>
      <c r="E119" s="214">
        <f t="shared" si="3"/>
        <v>405.29999999999563</v>
      </c>
    </row>
    <row r="120" spans="2:5" ht="12.75">
      <c r="B120" s="116" t="s">
        <v>364</v>
      </c>
      <c r="C120" s="94">
        <v>83563.59</v>
      </c>
      <c r="D120" s="83">
        <v>95833.5</v>
      </c>
      <c r="E120" s="214">
        <f t="shared" si="3"/>
        <v>12269.910000000003</v>
      </c>
    </row>
    <row r="121" spans="2:5" ht="12.75">
      <c r="B121" s="116" t="s">
        <v>415</v>
      </c>
      <c r="C121" s="94">
        <v>59011.82</v>
      </c>
      <c r="D121" s="83">
        <v>56956.39</v>
      </c>
      <c r="E121" s="214">
        <f t="shared" si="3"/>
        <v>-2055.4300000000003</v>
      </c>
    </row>
    <row r="122" spans="2:5" ht="12.75">
      <c r="B122" s="278" t="s">
        <v>792</v>
      </c>
      <c r="C122" s="122">
        <v>1500</v>
      </c>
      <c r="D122" s="122">
        <v>2000</v>
      </c>
      <c r="E122" s="214">
        <f t="shared" si="3"/>
        <v>500</v>
      </c>
    </row>
    <row r="123" spans="2:5" ht="12.75">
      <c r="B123" s="116" t="s">
        <v>1200</v>
      </c>
      <c r="C123" s="122">
        <v>9175.27</v>
      </c>
      <c r="D123" s="122">
        <v>9175.27</v>
      </c>
      <c r="E123" s="128">
        <f t="shared" si="3"/>
        <v>0</v>
      </c>
    </row>
    <row r="124" spans="2:5" ht="13.5" thickBot="1">
      <c r="B124" s="156" t="s">
        <v>279</v>
      </c>
      <c r="C124" s="229">
        <v>6750</v>
      </c>
      <c r="D124" s="229">
        <v>6750</v>
      </c>
      <c r="E124" s="219">
        <f t="shared" si="3"/>
        <v>0</v>
      </c>
    </row>
    <row r="125" spans="2:5" ht="13.5" thickBot="1">
      <c r="B125" s="187"/>
      <c r="C125" s="217">
        <f>SUM(C115:C124)</f>
        <v>1033393.3200000001</v>
      </c>
      <c r="D125" s="217">
        <f>SUM(D115:D124)</f>
        <v>1030734.79</v>
      </c>
      <c r="E125" s="217">
        <f>SUM(E115:E124)</f>
        <v>-2658.5299999999825</v>
      </c>
    </row>
    <row r="126" spans="2:5" ht="13.5" thickBot="1">
      <c r="B126" s="363" t="s">
        <v>87</v>
      </c>
      <c r="C126" s="364"/>
      <c r="D126" s="364"/>
      <c r="E126" s="365"/>
    </row>
    <row r="127" spans="2:5" ht="12.75">
      <c r="B127" s="140" t="s">
        <v>285</v>
      </c>
      <c r="C127" s="234">
        <f>503351.79+375</f>
        <v>503726.79</v>
      </c>
      <c r="D127" s="155">
        <f>485066.27+1216.49</f>
        <v>486282.76</v>
      </c>
      <c r="E127" s="242">
        <f aca="true" t="shared" si="4" ref="E127:E134">D127-C127</f>
        <v>-17444.02999999997</v>
      </c>
    </row>
    <row r="128" spans="2:5" ht="12.75">
      <c r="B128" s="115" t="s">
        <v>637</v>
      </c>
      <c r="C128" s="10">
        <v>248519.83</v>
      </c>
      <c r="D128" s="34">
        <v>248532.12</v>
      </c>
      <c r="E128" s="57">
        <f t="shared" si="4"/>
        <v>12.290000000008149</v>
      </c>
    </row>
    <row r="129" spans="2:5" ht="12.75">
      <c r="B129" s="115" t="s">
        <v>633</v>
      </c>
      <c r="C129" s="67">
        <v>62390.01</v>
      </c>
      <c r="D129" s="83">
        <v>61095.72</v>
      </c>
      <c r="E129" s="57">
        <f t="shared" si="4"/>
        <v>-1294.2900000000009</v>
      </c>
    </row>
    <row r="130" spans="2:5" ht="12.75">
      <c r="B130" s="116" t="s">
        <v>364</v>
      </c>
      <c r="C130" s="94">
        <v>13417.13</v>
      </c>
      <c r="D130" s="83">
        <v>17084.06</v>
      </c>
      <c r="E130" s="57">
        <f>D130-C130</f>
        <v>3666.930000000002</v>
      </c>
    </row>
    <row r="131" spans="2:5" ht="12.75">
      <c r="B131" s="116" t="s">
        <v>364</v>
      </c>
      <c r="C131" s="94">
        <v>13417.13</v>
      </c>
      <c r="D131" s="83">
        <v>17084.06</v>
      </c>
      <c r="E131" s="57">
        <f t="shared" si="4"/>
        <v>3666.930000000002</v>
      </c>
    </row>
    <row r="132" spans="2:5" ht="12.75" customHeight="1">
      <c r="B132" s="352" t="s">
        <v>1210</v>
      </c>
      <c r="C132" s="258">
        <v>77873.09</v>
      </c>
      <c r="D132" s="258">
        <v>122050.66</v>
      </c>
      <c r="E132" s="57">
        <f t="shared" si="4"/>
        <v>44177.57000000001</v>
      </c>
    </row>
    <row r="133" spans="2:5" ht="12.75">
      <c r="B133" s="116" t="s">
        <v>29</v>
      </c>
      <c r="C133" s="94">
        <f>2400+3600+162940.23+28599+22680</f>
        <v>220219.23</v>
      </c>
      <c r="D133" s="83">
        <f>2400+3300+33248.4+174123.11-1500+33432+30240</f>
        <v>275243.51</v>
      </c>
      <c r="E133" s="57">
        <f t="shared" si="4"/>
        <v>55024.28</v>
      </c>
    </row>
    <row r="134" spans="2:5" ht="13.5" thickBot="1">
      <c r="B134" s="157" t="s">
        <v>805</v>
      </c>
      <c r="C134" s="225">
        <f>15713+9256.44+11692.43+9457.02</f>
        <v>46118.89</v>
      </c>
      <c r="D134" s="226">
        <f>26165.79+17473.02+11692.43+11823.84</f>
        <v>67155.08</v>
      </c>
      <c r="E134" s="219">
        <f t="shared" si="4"/>
        <v>21036.190000000002</v>
      </c>
    </row>
    <row r="135" spans="2:5" ht="13.5" thickBot="1">
      <c r="B135" s="177"/>
      <c r="C135" s="217">
        <f>SUM(C127:C134)</f>
        <v>1185682.0999999999</v>
      </c>
      <c r="D135" s="217">
        <f>SUM(D127:D134)</f>
        <v>1294527.9700000002</v>
      </c>
      <c r="E135" s="217">
        <f>SUM(E127:E134)</f>
        <v>108845.87000000005</v>
      </c>
    </row>
    <row r="136" spans="2:5" ht="13.5" thickBot="1">
      <c r="B136" s="366" t="s">
        <v>379</v>
      </c>
      <c r="C136" s="367"/>
      <c r="D136" s="367"/>
      <c r="E136" s="368"/>
    </row>
    <row r="137" spans="2:5" ht="13.5" thickBot="1">
      <c r="B137" s="153"/>
      <c r="C137" s="175">
        <f>C95+C104+C113+C125+C135</f>
        <v>3785275.4799999995</v>
      </c>
      <c r="D137" s="175">
        <f>D95+D104+D113+D125+D135</f>
        <v>3971075.5100000002</v>
      </c>
      <c r="E137" s="175">
        <f>E95+E104+E113+E125+E135</f>
        <v>185800.03000000003</v>
      </c>
    </row>
  </sheetData>
  <sheetProtection/>
  <mergeCells count="23">
    <mergeCell ref="B105:E105"/>
    <mergeCell ref="D82:E82"/>
    <mergeCell ref="D83:E83"/>
    <mergeCell ref="D84:E84"/>
    <mergeCell ref="D85:E85"/>
    <mergeCell ref="B114:E114"/>
    <mergeCell ref="B136:E136"/>
    <mergeCell ref="B126:E126"/>
    <mergeCell ref="D86:E86"/>
    <mergeCell ref="B89:E89"/>
    <mergeCell ref="B96:E96"/>
    <mergeCell ref="A22:D22"/>
    <mergeCell ref="D26:E26"/>
    <mergeCell ref="D78:E78"/>
    <mergeCell ref="D79:E79"/>
    <mergeCell ref="D80:E80"/>
    <mergeCell ref="D81:E81"/>
    <mergeCell ref="A2:B2"/>
    <mergeCell ref="C2:E2"/>
    <mergeCell ref="C3:E3"/>
    <mergeCell ref="B4:E4"/>
    <mergeCell ref="A6:E6"/>
    <mergeCell ref="A21:D2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4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3.00390625" style="0" customWidth="1"/>
    <col min="2" max="2" width="55.00390625" style="0" customWidth="1"/>
    <col min="3" max="3" width="10.625" style="0" customWidth="1"/>
    <col min="4" max="4" width="12.75390625" style="0" customWidth="1"/>
    <col min="5" max="5" width="13.1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694</v>
      </c>
      <c r="C7" s="26"/>
      <c r="D7" s="24"/>
    </row>
    <row r="8" spans="1:4" ht="15">
      <c r="A8" s="26"/>
      <c r="B8" s="27" t="s">
        <v>115</v>
      </c>
      <c r="C8" s="38">
        <v>1189.4</v>
      </c>
      <c r="D8" s="92" t="s">
        <v>116</v>
      </c>
    </row>
    <row r="9" spans="1:4" ht="15">
      <c r="A9" s="26"/>
      <c r="B9" s="27" t="s">
        <v>654</v>
      </c>
      <c r="C9" s="93">
        <v>71.8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134324.1</v>
      </c>
      <c r="D12" s="218">
        <v>147755.96</v>
      </c>
      <c r="E12" s="242">
        <f aca="true" t="shared" si="0" ref="E12:E19">D12-C12</f>
        <v>13431.859999999986</v>
      </c>
    </row>
    <row r="13" spans="1:5" ht="12.75">
      <c r="A13" s="84">
        <v>2</v>
      </c>
      <c r="B13" s="5" t="s">
        <v>637</v>
      </c>
      <c r="C13" s="10">
        <v>65299.65</v>
      </c>
      <c r="D13" s="98">
        <v>72292.2</v>
      </c>
      <c r="E13" s="57">
        <f t="shared" si="0"/>
        <v>6992.549999999996</v>
      </c>
    </row>
    <row r="14" spans="1:5" ht="12.75">
      <c r="A14" s="84">
        <v>3</v>
      </c>
      <c r="B14" s="5" t="s">
        <v>364</v>
      </c>
      <c r="C14" s="10">
        <v>19398.55</v>
      </c>
      <c r="D14" s="98">
        <v>12389.52</v>
      </c>
      <c r="E14" s="57">
        <f t="shared" si="0"/>
        <v>-7009.029999999999</v>
      </c>
    </row>
    <row r="15" spans="1:5" ht="12.75">
      <c r="A15" s="84">
        <v>4</v>
      </c>
      <c r="B15" s="5" t="s">
        <v>633</v>
      </c>
      <c r="C15" s="10">
        <v>23293.5</v>
      </c>
      <c r="D15" s="98">
        <v>25691.04</v>
      </c>
      <c r="E15" s="57">
        <f t="shared" si="0"/>
        <v>2397.540000000001</v>
      </c>
    </row>
    <row r="16" spans="1:5" ht="12.75">
      <c r="A16" s="84">
        <v>5</v>
      </c>
      <c r="B16" s="5" t="s">
        <v>29</v>
      </c>
      <c r="C16" s="10">
        <f>3500+2400+5000+24000</f>
        <v>34900</v>
      </c>
      <c r="D16" s="98">
        <f>4200+2400+5000+33000</f>
        <v>44600</v>
      </c>
      <c r="E16" s="57">
        <f t="shared" si="0"/>
        <v>9700</v>
      </c>
    </row>
    <row r="17" spans="1:5" ht="12.75">
      <c r="A17" s="84">
        <v>6</v>
      </c>
      <c r="B17" s="105" t="s">
        <v>1073</v>
      </c>
      <c r="C17" s="125">
        <f>2.52+9927.83</f>
        <v>9930.35</v>
      </c>
      <c r="D17" s="125">
        <f>402.96+9927.83</f>
        <v>10330.789999999999</v>
      </c>
      <c r="E17" s="57">
        <f t="shared" si="0"/>
        <v>400.4399999999987</v>
      </c>
    </row>
    <row r="18" spans="1:5" ht="12.75">
      <c r="A18" s="87">
        <v>7</v>
      </c>
      <c r="B18" s="351" t="s">
        <v>393</v>
      </c>
      <c r="C18" s="258">
        <v>3965.61</v>
      </c>
      <c r="D18" s="258">
        <v>4852.98</v>
      </c>
      <c r="E18" s="66">
        <f t="shared" si="0"/>
        <v>887.3699999999994</v>
      </c>
    </row>
    <row r="19" spans="1:5" ht="13.5" thickBot="1">
      <c r="A19" s="261">
        <v>8</v>
      </c>
      <c r="B19" s="95" t="s">
        <v>805</v>
      </c>
      <c r="C19" s="225">
        <v>7115.28</v>
      </c>
      <c r="D19" s="227">
        <v>14281.02</v>
      </c>
      <c r="E19" s="222">
        <f t="shared" si="0"/>
        <v>7165.740000000001</v>
      </c>
    </row>
    <row r="20" spans="1:5" ht="13.5" thickBot="1">
      <c r="A20" s="250"/>
      <c r="B20" s="251"/>
      <c r="C20" s="118">
        <f>SUM(C12:C19)</f>
        <v>298227.04</v>
      </c>
      <c r="D20" s="118">
        <f>SUM(D12:D19)</f>
        <v>332193.50999999995</v>
      </c>
      <c r="E20" s="137">
        <f>SUM(E12:E19)</f>
        <v>33966.46999999998</v>
      </c>
    </row>
    <row r="21" spans="1:5" ht="12.75">
      <c r="A21" s="385" t="s">
        <v>793</v>
      </c>
      <c r="B21" s="386"/>
      <c r="C21" s="386"/>
      <c r="D21" s="386"/>
      <c r="E21" s="108">
        <f>E134</f>
        <v>80436.57999999999</v>
      </c>
    </row>
    <row r="22" spans="1:5" ht="12.75">
      <c r="A22" s="387" t="s">
        <v>794</v>
      </c>
      <c r="B22" s="384"/>
      <c r="C22" s="384"/>
      <c r="D22" s="384"/>
      <c r="E22" s="22">
        <v>193942.32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12.75">
      <c r="A25" s="86">
        <v>1</v>
      </c>
      <c r="B25" s="64" t="s">
        <v>1095</v>
      </c>
      <c r="C25" s="80">
        <f>C64</f>
        <v>117846.25</v>
      </c>
      <c r="E25" s="29"/>
    </row>
    <row r="26" spans="1:5" ht="25.5">
      <c r="A26" s="91">
        <v>2</v>
      </c>
      <c r="B26" s="25" t="s">
        <v>1096</v>
      </c>
      <c r="C26" s="102">
        <f>C70</f>
        <v>18361.94</v>
      </c>
      <c r="D26" s="388"/>
      <c r="E26" s="389"/>
    </row>
    <row r="27" spans="1:5" ht="12.75">
      <c r="A27" s="84">
        <v>3</v>
      </c>
      <c r="B27" s="9" t="s">
        <v>649</v>
      </c>
      <c r="C27" s="48">
        <v>1959.65</v>
      </c>
      <c r="E27" s="29"/>
    </row>
    <row r="28" spans="1:5" ht="12.75">
      <c r="A28" s="84">
        <v>4</v>
      </c>
      <c r="B28" s="9" t="s">
        <v>122</v>
      </c>
      <c r="C28" s="48">
        <f>(C8*0.55*12)</f>
        <v>7850.040000000001</v>
      </c>
      <c r="E28" s="29"/>
    </row>
    <row r="29" spans="1:5" ht="12.75">
      <c r="A29" s="84">
        <v>5</v>
      </c>
      <c r="B29" s="9" t="s">
        <v>658</v>
      </c>
      <c r="C29" s="79">
        <v>17706</v>
      </c>
      <c r="E29" s="29"/>
    </row>
    <row r="30" spans="1:5" ht="25.5">
      <c r="A30" s="91">
        <v>6</v>
      </c>
      <c r="B30" s="25" t="s">
        <v>1077</v>
      </c>
      <c r="C30" s="96">
        <v>2276.49</v>
      </c>
      <c r="E30" s="29"/>
    </row>
    <row r="31" spans="1:5" ht="25.5">
      <c r="A31" s="91">
        <v>7</v>
      </c>
      <c r="B31" s="25" t="s">
        <v>327</v>
      </c>
      <c r="C31" s="203">
        <v>1995.82</v>
      </c>
      <c r="E31" s="29"/>
    </row>
    <row r="32" spans="1:5" ht="12.75">
      <c r="A32" s="91">
        <v>8</v>
      </c>
      <c r="B32" s="25" t="s">
        <v>61</v>
      </c>
      <c r="C32" s="96">
        <v>2400</v>
      </c>
      <c r="E32" s="29"/>
    </row>
    <row r="33" spans="1:5" ht="12.75">
      <c r="A33" s="91">
        <v>9</v>
      </c>
      <c r="B33" s="346" t="s">
        <v>26</v>
      </c>
      <c r="C33" s="96">
        <v>600</v>
      </c>
      <c r="E33" s="29"/>
    </row>
    <row r="34" spans="1:5" ht="25.5">
      <c r="A34" s="91">
        <v>10</v>
      </c>
      <c r="B34" s="25" t="s">
        <v>60</v>
      </c>
      <c r="C34" s="96">
        <v>-2300</v>
      </c>
      <c r="E34" s="29"/>
    </row>
    <row r="35" spans="1:5" ht="25.5">
      <c r="A35" s="91">
        <v>11</v>
      </c>
      <c r="B35" s="25" t="s">
        <v>1075</v>
      </c>
      <c r="C35" s="96">
        <v>5376</v>
      </c>
      <c r="E35" s="29"/>
    </row>
    <row r="36" spans="1:5" ht="38.25">
      <c r="A36" s="91">
        <v>12</v>
      </c>
      <c r="B36" s="25" t="s">
        <v>1074</v>
      </c>
      <c r="C36" s="349">
        <v>2061.28</v>
      </c>
      <c r="E36" s="29"/>
    </row>
    <row r="37" spans="1:3" ht="12.75">
      <c r="A37" s="50"/>
      <c r="B37" s="20" t="s">
        <v>629</v>
      </c>
      <c r="C37" s="51">
        <f>SUM(C25:C36)</f>
        <v>176133.47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(C20)*15%</f>
        <v>44734.056</v>
      </c>
    </row>
    <row r="40" spans="1:3" ht="12.75">
      <c r="A40" s="84">
        <v>2</v>
      </c>
      <c r="B40" s="9" t="s">
        <v>813</v>
      </c>
      <c r="C40" s="48">
        <f>C77</f>
        <v>2576.068893768565</v>
      </c>
    </row>
    <row r="41" spans="1:3" ht="12.75">
      <c r="A41" s="84">
        <v>3</v>
      </c>
      <c r="B41" s="9" t="s">
        <v>653</v>
      </c>
      <c r="C41" s="48">
        <f>C78</f>
        <v>2797.9925246645776</v>
      </c>
    </row>
    <row r="42" spans="1:3" ht="12.75">
      <c r="A42" s="84">
        <v>4</v>
      </c>
      <c r="B42" s="9" t="s">
        <v>1114</v>
      </c>
      <c r="C42" s="52">
        <f>C79</f>
        <v>5680.036695437183</v>
      </c>
    </row>
    <row r="43" spans="1:3" ht="12.75">
      <c r="A43" s="84">
        <v>5</v>
      </c>
      <c r="B43" s="9" t="s">
        <v>162</v>
      </c>
      <c r="C43" s="52">
        <f>C80</f>
        <v>4400.868483456469</v>
      </c>
    </row>
    <row r="44" spans="1:3" ht="12.75">
      <c r="A44" s="84">
        <v>6</v>
      </c>
      <c r="B44" s="9" t="s">
        <v>1051</v>
      </c>
      <c r="C44" s="48">
        <f>C81+C83+C84+C85+C82</f>
        <v>7468.255211402795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67657.27780872959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C20*2%</f>
        <v>5964.5408</v>
      </c>
    </row>
    <row r="52" spans="1:3" ht="12.75">
      <c r="A52" s="84">
        <v>2</v>
      </c>
      <c r="B52" s="9" t="s">
        <v>391</v>
      </c>
      <c r="C52" s="48">
        <f>C53</f>
        <v>17535.749952</v>
      </c>
    </row>
    <row r="53" spans="1:4" ht="12.75">
      <c r="A53" s="49"/>
      <c r="B53" s="5" t="s">
        <v>334</v>
      </c>
      <c r="C53" s="41">
        <f>(C20-C51)*6%</f>
        <v>17535.749952</v>
      </c>
      <c r="D53" s="19"/>
    </row>
    <row r="54" spans="1:3" ht="13.5" thickBot="1">
      <c r="A54" s="54"/>
      <c r="B54" s="55" t="s">
        <v>967</v>
      </c>
      <c r="C54" s="56">
        <f>C51+C52</f>
        <v>23500.290751999997</v>
      </c>
    </row>
    <row r="55" spans="1:3" ht="12.75">
      <c r="A55" s="23"/>
      <c r="B55" s="4" t="s">
        <v>288</v>
      </c>
      <c r="C55" s="11">
        <f>C37+C49+C54</f>
        <v>267291.0385607296</v>
      </c>
    </row>
    <row r="56" spans="1:3" ht="12.75">
      <c r="A56" s="23"/>
      <c r="B56" s="77"/>
      <c r="C56" s="1"/>
    </row>
    <row r="57" spans="1:3" ht="15">
      <c r="A57" s="23"/>
      <c r="B57" s="14" t="s">
        <v>812</v>
      </c>
      <c r="C57" s="1">
        <v>300797.96</v>
      </c>
    </row>
    <row r="58" spans="1:3" ht="15">
      <c r="A58" s="23"/>
      <c r="B58" s="14" t="s">
        <v>180</v>
      </c>
      <c r="C58" s="11">
        <f>C55+C57-C20</f>
        <v>269861.9585607297</v>
      </c>
    </row>
    <row r="59" ht="12.75">
      <c r="B59" s="1" t="s">
        <v>85</v>
      </c>
    </row>
    <row r="60" ht="15.75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1063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C8+C9</f>
        <v>1261.2</v>
      </c>
      <c r="E63" t="s">
        <v>116</v>
      </c>
    </row>
    <row r="64" spans="1:5" ht="12.75">
      <c r="A64" s="60" t="s">
        <v>218</v>
      </c>
      <c r="B64" s="39" t="s">
        <v>797</v>
      </c>
      <c r="C64" s="47">
        <v>117846.25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15860.7</v>
      </c>
      <c r="D66" s="15"/>
      <c r="E66" s="15"/>
    </row>
    <row r="67" spans="1:5" ht="12.75">
      <c r="A67" s="62" t="s">
        <v>166</v>
      </c>
      <c r="B67" s="6" t="s">
        <v>974</v>
      </c>
      <c r="C67" s="41">
        <v>3000</v>
      </c>
      <c r="D67" s="15"/>
      <c r="E67" s="15"/>
    </row>
    <row r="68" spans="1:5" ht="12.75">
      <c r="A68" s="62" t="s">
        <v>166</v>
      </c>
      <c r="B68" s="6" t="s">
        <v>818</v>
      </c>
      <c r="C68" s="45">
        <v>1761.35</v>
      </c>
      <c r="D68" s="15"/>
      <c r="E68" s="15"/>
    </row>
    <row r="69" spans="1:5" ht="13.5" thickBot="1">
      <c r="A69" s="63" t="s">
        <v>166</v>
      </c>
      <c r="B69" s="42" t="s">
        <v>1076</v>
      </c>
      <c r="C69" s="43">
        <v>23494.49</v>
      </c>
      <c r="D69" s="15"/>
      <c r="E69" s="15"/>
    </row>
    <row r="70" spans="1:5" ht="12.75">
      <c r="A70" s="300" t="s">
        <v>328</v>
      </c>
      <c r="B70" s="97" t="s">
        <v>343</v>
      </c>
      <c r="C70" s="82">
        <v>18361.94</v>
      </c>
      <c r="D70" s="15"/>
      <c r="E70" s="12"/>
    </row>
    <row r="71" spans="1:5" ht="12.75">
      <c r="A71" s="61"/>
      <c r="B71" s="6" t="s">
        <v>118</v>
      </c>
      <c r="C71" s="41"/>
      <c r="D71" s="15"/>
      <c r="E71" s="12"/>
    </row>
    <row r="72" spans="1:5" ht="12.75">
      <c r="A72" s="62" t="s">
        <v>166</v>
      </c>
      <c r="B72" s="6" t="s">
        <v>380</v>
      </c>
      <c r="C72" s="41">
        <v>121</v>
      </c>
      <c r="D72" s="15"/>
      <c r="E72" s="12"/>
    </row>
    <row r="73" spans="1:5" ht="12.75">
      <c r="A73" s="62" t="s">
        <v>166</v>
      </c>
      <c r="B73" s="68" t="s">
        <v>366</v>
      </c>
      <c r="C73" s="69">
        <v>12692.92</v>
      </c>
      <c r="D73" s="15"/>
      <c r="E73" s="12"/>
    </row>
    <row r="74" spans="1:5" ht="13.5" thickBot="1">
      <c r="A74" s="63" t="s">
        <v>166</v>
      </c>
      <c r="B74" s="42" t="s">
        <v>818</v>
      </c>
      <c r="C74" s="46">
        <v>68.01</v>
      </c>
      <c r="D74" s="15"/>
      <c r="E74" s="15"/>
    </row>
    <row r="75" spans="1:5" ht="12.75">
      <c r="A75" s="300" t="s">
        <v>787</v>
      </c>
      <c r="B75" s="97" t="s">
        <v>1050</v>
      </c>
      <c r="C75" s="82">
        <f>C76+C77+C79+C78+C80+C81+C83+C84+C85+C82</f>
        <v>67657.27780872959</v>
      </c>
      <c r="D75" s="15"/>
      <c r="E75" s="12"/>
    </row>
    <row r="76" spans="1:5" ht="13.5" thickBot="1">
      <c r="A76" s="40" t="s">
        <v>166</v>
      </c>
      <c r="B76" s="6" t="s">
        <v>227</v>
      </c>
      <c r="C76" s="41">
        <f>C39</f>
        <v>44734.056</v>
      </c>
      <c r="D76" s="15"/>
      <c r="E76" s="12"/>
    </row>
    <row r="77" spans="1:5" ht="12.75">
      <c r="A77" s="40" t="s">
        <v>166</v>
      </c>
      <c r="B77" s="6" t="s">
        <v>370</v>
      </c>
      <c r="C77" s="317">
        <f>401410.25/185335.63*C8</f>
        <v>2576.068893768565</v>
      </c>
      <c r="D77" s="375" t="s">
        <v>1064</v>
      </c>
      <c r="E77" s="376"/>
    </row>
    <row r="78" spans="1:5" ht="12.75">
      <c r="A78" s="73" t="s">
        <v>166</v>
      </c>
      <c r="B78" s="74" t="s">
        <v>397</v>
      </c>
      <c r="C78" s="317">
        <f>435991.01/185335.63*C8</f>
        <v>2797.9925246645776</v>
      </c>
      <c r="D78" s="377" t="s">
        <v>1065</v>
      </c>
      <c r="E78" s="378"/>
    </row>
    <row r="79" spans="1:5" ht="12.75">
      <c r="A79" s="71" t="s">
        <v>166</v>
      </c>
      <c r="B79" s="72" t="s">
        <v>416</v>
      </c>
      <c r="C79" s="317">
        <f>1082167/226605.83*C8</f>
        <v>5680.036695437183</v>
      </c>
      <c r="D79" s="379" t="s">
        <v>1066</v>
      </c>
      <c r="E79" s="380"/>
    </row>
    <row r="80" spans="1:5" ht="25.5">
      <c r="A80" s="73" t="s">
        <v>166</v>
      </c>
      <c r="B80" s="72" t="s">
        <v>231</v>
      </c>
      <c r="C80" s="318">
        <f>845684.35/242356.05*D63</f>
        <v>4400.868483456469</v>
      </c>
      <c r="D80" s="381" t="s">
        <v>1067</v>
      </c>
      <c r="E80" s="382"/>
    </row>
    <row r="81" spans="1:5" ht="12.75">
      <c r="A81" s="73" t="s">
        <v>166</v>
      </c>
      <c r="B81" s="74" t="s">
        <v>808</v>
      </c>
      <c r="C81" s="318">
        <f>642562.44/242356.05*D63</f>
        <v>3343.8395671492417</v>
      </c>
      <c r="D81" s="371" t="s">
        <v>1068</v>
      </c>
      <c r="E81" s="372"/>
    </row>
    <row r="82" spans="1:5" ht="12.75">
      <c r="A82" s="73" t="s">
        <v>166</v>
      </c>
      <c r="B82" s="74" t="s">
        <v>826</v>
      </c>
      <c r="C82" s="318">
        <f>51615/196822.43*D63</f>
        <v>330.73892035577455</v>
      </c>
      <c r="D82" s="371" t="s">
        <v>1069</v>
      </c>
      <c r="E82" s="372"/>
    </row>
    <row r="83" spans="1:5" ht="12.75">
      <c r="A83" s="73" t="s">
        <v>166</v>
      </c>
      <c r="B83" s="74" t="s">
        <v>655</v>
      </c>
      <c r="C83" s="318">
        <f>129011.28/196822.43*D63</f>
        <v>826.6792882091742</v>
      </c>
      <c r="D83" s="371" t="s">
        <v>1070</v>
      </c>
      <c r="E83" s="372"/>
    </row>
    <row r="84" spans="1:5" ht="12.75">
      <c r="A84" s="73" t="s">
        <v>166</v>
      </c>
      <c r="B84" s="74" t="s">
        <v>656</v>
      </c>
      <c r="C84" s="318">
        <f>164128/196822.43*D63</f>
        <v>1051.7004266231243</v>
      </c>
      <c r="D84" s="373" t="s">
        <v>1071</v>
      </c>
      <c r="E84" s="374"/>
    </row>
    <row r="85" spans="1:5" ht="13.5" thickBot="1">
      <c r="A85" s="75" t="s">
        <v>166</v>
      </c>
      <c r="B85" s="76" t="s">
        <v>809</v>
      </c>
      <c r="C85" s="319">
        <f>298900.58/196822.43*D63</f>
        <v>1915.297009065481</v>
      </c>
      <c r="D85" s="369" t="s">
        <v>1072</v>
      </c>
      <c r="E85" s="370"/>
    </row>
    <row r="86" ht="13.5" thickBot="1"/>
    <row r="87" spans="2:5" ht="24.75" thickBot="1">
      <c r="B87" s="143"/>
      <c r="C87" s="159" t="s">
        <v>104</v>
      </c>
      <c r="D87" s="161" t="s">
        <v>306</v>
      </c>
      <c r="E87" s="160" t="s">
        <v>1115</v>
      </c>
    </row>
    <row r="88" spans="2:5" ht="13.5" thickBot="1">
      <c r="B88" s="363" t="s">
        <v>400</v>
      </c>
      <c r="C88" s="364"/>
      <c r="D88" s="364"/>
      <c r="E88" s="365"/>
    </row>
    <row r="89" spans="2:5" ht="12.75">
      <c r="B89" s="140" t="s">
        <v>285</v>
      </c>
      <c r="C89" s="212">
        <v>80052.53</v>
      </c>
      <c r="D89" s="212">
        <v>89192.29</v>
      </c>
      <c r="E89" s="213">
        <f>D89-C89</f>
        <v>9139.759999999995</v>
      </c>
    </row>
    <row r="90" spans="2:5" ht="12.75">
      <c r="B90" s="115" t="s">
        <v>637</v>
      </c>
      <c r="C90" s="18">
        <v>45702.97</v>
      </c>
      <c r="D90" s="18">
        <v>50451.48</v>
      </c>
      <c r="E90" s="214">
        <f>D90-C90</f>
        <v>4748.510000000002</v>
      </c>
    </row>
    <row r="91" spans="2:5" ht="12.75">
      <c r="B91" s="115" t="s">
        <v>633</v>
      </c>
      <c r="C91" s="18">
        <v>4504.27</v>
      </c>
      <c r="D91" s="18">
        <v>5018.03</v>
      </c>
      <c r="E91" s="214">
        <f>D91-C91</f>
        <v>513.7599999999993</v>
      </c>
    </row>
    <row r="92" spans="2:5" ht="12.75">
      <c r="B92" s="115" t="s">
        <v>805</v>
      </c>
      <c r="C92" s="18">
        <v>3749.54</v>
      </c>
      <c r="D92" s="18">
        <v>5854.01</v>
      </c>
      <c r="E92" s="214">
        <f>D92-C92</f>
        <v>2104.4700000000003</v>
      </c>
    </row>
    <row r="93" spans="2:5" ht="13.5" thickBot="1">
      <c r="B93" s="157" t="s">
        <v>113</v>
      </c>
      <c r="C93" s="215">
        <v>27080.34</v>
      </c>
      <c r="D93" s="215">
        <v>27080.34</v>
      </c>
      <c r="E93" s="216">
        <f>D93-C93</f>
        <v>0</v>
      </c>
    </row>
    <row r="94" spans="2:5" ht="13.5" thickBot="1">
      <c r="B94" s="177"/>
      <c r="C94" s="179">
        <f>SUM(C89:C93)</f>
        <v>161089.65</v>
      </c>
      <c r="D94" s="179">
        <f>SUM(D89:D93)</f>
        <v>177596.15</v>
      </c>
      <c r="E94" s="179">
        <f>SUM(E89:E93)</f>
        <v>16506.499999999996</v>
      </c>
    </row>
    <row r="95" spans="2:5" ht="13.5" thickBot="1">
      <c r="B95" s="363" t="s">
        <v>401</v>
      </c>
      <c r="C95" s="364"/>
      <c r="D95" s="364"/>
      <c r="E95" s="365"/>
    </row>
    <row r="96" spans="2:5" ht="12.75">
      <c r="B96" s="140" t="s">
        <v>285</v>
      </c>
      <c r="C96" s="141">
        <v>100377.03</v>
      </c>
      <c r="D96" s="218">
        <v>115066.16</v>
      </c>
      <c r="E96" s="213">
        <f>D96-C96</f>
        <v>14689.130000000005</v>
      </c>
    </row>
    <row r="97" spans="2:5" ht="12.75">
      <c r="B97" s="115" t="s">
        <v>637</v>
      </c>
      <c r="C97" s="5">
        <v>50348.38</v>
      </c>
      <c r="D97" s="99">
        <v>57247.79</v>
      </c>
      <c r="E97" s="214">
        <f>D97-C97</f>
        <v>6899.4100000000035</v>
      </c>
    </row>
    <row r="98" spans="2:5" ht="12.75">
      <c r="B98" s="115" t="s">
        <v>651</v>
      </c>
      <c r="C98" s="10">
        <v>7606.86</v>
      </c>
      <c r="D98" s="98">
        <v>8696.67</v>
      </c>
      <c r="E98" s="214">
        <f>D98-C98</f>
        <v>1089.8100000000004</v>
      </c>
    </row>
    <row r="99" spans="2:5" ht="12.75">
      <c r="B99" s="115" t="s">
        <v>652</v>
      </c>
      <c r="C99" s="10">
        <v>2946.48</v>
      </c>
      <c r="D99" s="98">
        <v>3632.16</v>
      </c>
      <c r="E99" s="214">
        <f>D99-C99</f>
        <v>685.6799999999998</v>
      </c>
    </row>
    <row r="100" spans="2:5" ht="12.75">
      <c r="B100" s="115" t="s">
        <v>805</v>
      </c>
      <c r="C100" s="18">
        <v>13033.83</v>
      </c>
      <c r="D100" s="110">
        <v>13001.5</v>
      </c>
      <c r="E100" s="214">
        <f>D100-C100</f>
        <v>-32.32999999999993</v>
      </c>
    </row>
    <row r="101" spans="2:5" ht="26.25" thickBot="1">
      <c r="B101" s="156" t="s">
        <v>119</v>
      </c>
      <c r="C101" s="142">
        <v>2500</v>
      </c>
      <c r="D101" s="142">
        <v>2500</v>
      </c>
      <c r="E101" s="219">
        <f>C101-D101</f>
        <v>0</v>
      </c>
    </row>
    <row r="102" spans="2:5" ht="13.5" thickBot="1">
      <c r="B102" s="187"/>
      <c r="C102" s="217">
        <f>SUM(C96:C101)</f>
        <v>176812.58</v>
      </c>
      <c r="D102" s="217">
        <f>SUM(D96:D101)</f>
        <v>200144.28000000003</v>
      </c>
      <c r="E102" s="217">
        <f>SUM(E96:E101)</f>
        <v>23331.70000000001</v>
      </c>
    </row>
    <row r="103" spans="2:5" ht="13.5" thickBot="1">
      <c r="B103" s="363" t="s">
        <v>219</v>
      </c>
      <c r="C103" s="364"/>
      <c r="D103" s="364"/>
      <c r="E103" s="365"/>
    </row>
    <row r="104" spans="2:5" ht="12.75">
      <c r="B104" s="140" t="s">
        <v>285</v>
      </c>
      <c r="C104" s="141">
        <v>111314.65</v>
      </c>
      <c r="D104" s="218">
        <v>124106.37</v>
      </c>
      <c r="E104" s="213">
        <f aca="true" t="shared" si="1" ref="E104:E109">D104-C104</f>
        <v>12791.720000000001</v>
      </c>
    </row>
    <row r="105" spans="2:5" ht="12.75">
      <c r="B105" s="115" t="s">
        <v>637</v>
      </c>
      <c r="C105" s="5">
        <v>53750.9</v>
      </c>
      <c r="D105" s="99">
        <v>60341.37</v>
      </c>
      <c r="E105" s="214">
        <f t="shared" si="1"/>
        <v>6590.470000000001</v>
      </c>
    </row>
    <row r="106" spans="2:5" ht="12.75">
      <c r="B106" s="115" t="s">
        <v>633</v>
      </c>
      <c r="C106" s="5">
        <v>8909.94</v>
      </c>
      <c r="D106" s="99">
        <v>10023.45</v>
      </c>
      <c r="E106" s="214">
        <f t="shared" si="1"/>
        <v>1113.5100000000002</v>
      </c>
    </row>
    <row r="107" spans="2:5" ht="25.5">
      <c r="B107" s="220" t="s">
        <v>119</v>
      </c>
      <c r="C107" s="301">
        <v>700</v>
      </c>
      <c r="D107" s="301">
        <v>700</v>
      </c>
      <c r="E107" s="288">
        <f t="shared" si="1"/>
        <v>0</v>
      </c>
    </row>
    <row r="108" spans="2:5" ht="12.75">
      <c r="B108" s="115" t="s">
        <v>805</v>
      </c>
      <c r="C108" s="10">
        <v>10360.7</v>
      </c>
      <c r="D108" s="98">
        <v>12432.84</v>
      </c>
      <c r="E108" s="214">
        <f t="shared" si="1"/>
        <v>2072.1399999999994</v>
      </c>
    </row>
    <row r="109" spans="2:5" ht="13.5" thickBot="1">
      <c r="B109" s="156" t="s">
        <v>279</v>
      </c>
      <c r="C109" s="142">
        <v>20750</v>
      </c>
      <c r="D109" s="142">
        <v>24750</v>
      </c>
      <c r="E109" s="222">
        <f t="shared" si="1"/>
        <v>4000</v>
      </c>
    </row>
    <row r="110" spans="2:5" ht="13.5" thickBot="1">
      <c r="B110" s="187"/>
      <c r="C110" s="217">
        <f>SUM(C104:C109)</f>
        <v>205786.19</v>
      </c>
      <c r="D110" s="217">
        <f>SUM(D104:D109)</f>
        <v>232354.03</v>
      </c>
      <c r="E110" s="217">
        <f>SUM(E104:E109)</f>
        <v>26567.840000000004</v>
      </c>
    </row>
    <row r="111" spans="2:5" ht="13.5" thickBot="1">
      <c r="B111" s="363" t="s">
        <v>392</v>
      </c>
      <c r="C111" s="364"/>
      <c r="D111" s="364"/>
      <c r="E111" s="365"/>
    </row>
    <row r="112" spans="2:5" ht="12.75">
      <c r="B112" s="140" t="s">
        <v>285</v>
      </c>
      <c r="C112" s="141">
        <v>192584.59</v>
      </c>
      <c r="D112" s="155">
        <v>181692.84</v>
      </c>
      <c r="E112" s="213">
        <f aca="true" t="shared" si="2" ref="E112:E121">D112-C112</f>
        <v>-10891.75</v>
      </c>
    </row>
    <row r="113" spans="2:5" ht="12.75">
      <c r="B113" s="115" t="s">
        <v>637</v>
      </c>
      <c r="C113" s="5">
        <v>94467.3</v>
      </c>
      <c r="D113" s="33">
        <v>88348.64</v>
      </c>
      <c r="E113" s="214">
        <f t="shared" si="2"/>
        <v>-6118.6600000000035</v>
      </c>
    </row>
    <row r="114" spans="2:5" ht="12.75">
      <c r="B114" s="115" t="s">
        <v>633</v>
      </c>
      <c r="C114" s="65">
        <v>28204.23</v>
      </c>
      <c r="D114" s="70">
        <v>28556.61</v>
      </c>
      <c r="E114" s="214">
        <f t="shared" si="2"/>
        <v>352.380000000001</v>
      </c>
    </row>
    <row r="115" spans="2:5" ht="12.75">
      <c r="B115" s="115" t="s">
        <v>393</v>
      </c>
      <c r="C115" s="65">
        <v>2295.36</v>
      </c>
      <c r="D115" s="70">
        <v>2695</v>
      </c>
      <c r="E115" s="288">
        <f t="shared" si="2"/>
        <v>399.6399999999999</v>
      </c>
    </row>
    <row r="116" spans="2:5" ht="12.75">
      <c r="B116" s="115" t="s">
        <v>805</v>
      </c>
      <c r="C116" s="67">
        <v>22049.76</v>
      </c>
      <c r="D116" s="83">
        <v>21639.08</v>
      </c>
      <c r="E116" s="214">
        <f t="shared" si="2"/>
        <v>-410.67999999999665</v>
      </c>
    </row>
    <row r="117" spans="2:5" ht="12.75">
      <c r="B117" s="116" t="s">
        <v>364</v>
      </c>
      <c r="C117" s="94">
        <v>55126.92</v>
      </c>
      <c r="D117" s="83">
        <v>64712.69</v>
      </c>
      <c r="E117" s="214">
        <f t="shared" si="2"/>
        <v>9585.770000000004</v>
      </c>
    </row>
    <row r="118" spans="2:5" ht="12.75">
      <c r="B118" s="116" t="s">
        <v>415</v>
      </c>
      <c r="C118" s="94">
        <v>5211.77</v>
      </c>
      <c r="D118" s="83">
        <v>5159.14</v>
      </c>
      <c r="E118" s="214">
        <f t="shared" si="2"/>
        <v>-52.63000000000011</v>
      </c>
    </row>
    <row r="119" spans="2:5" ht="12.75">
      <c r="B119" s="278" t="s">
        <v>792</v>
      </c>
      <c r="C119" s="122">
        <v>5500</v>
      </c>
      <c r="D119" s="122">
        <v>5700</v>
      </c>
      <c r="E119" s="288">
        <f t="shared" si="2"/>
        <v>200</v>
      </c>
    </row>
    <row r="120" spans="2:5" ht="12.75">
      <c r="B120" s="116" t="s">
        <v>1200</v>
      </c>
      <c r="C120" s="122">
        <v>41858.32</v>
      </c>
      <c r="D120" s="122">
        <v>41858.32</v>
      </c>
      <c r="E120" s="214">
        <f t="shared" si="2"/>
        <v>0</v>
      </c>
    </row>
    <row r="121" spans="2:5" ht="13.5" thickBot="1">
      <c r="B121" s="156" t="s">
        <v>279</v>
      </c>
      <c r="C121" s="229">
        <v>50000</v>
      </c>
      <c r="D121" s="229">
        <v>37000</v>
      </c>
      <c r="E121" s="222">
        <f t="shared" si="2"/>
        <v>-13000</v>
      </c>
    </row>
    <row r="122" spans="2:5" ht="13.5" thickBot="1">
      <c r="B122" s="187"/>
      <c r="C122" s="217">
        <f>SUM(C112:C121)</f>
        <v>497298.25</v>
      </c>
      <c r="D122" s="217">
        <f>SUM(D112:D121)</f>
        <v>477362.32</v>
      </c>
      <c r="E122" s="217">
        <f>SUM(E112:E121)</f>
        <v>-19935.929999999997</v>
      </c>
    </row>
    <row r="123" spans="2:5" ht="13.5" thickBot="1">
      <c r="B123" s="363" t="s">
        <v>87</v>
      </c>
      <c r="C123" s="364"/>
      <c r="D123" s="364"/>
      <c r="E123" s="365"/>
    </row>
    <row r="124" spans="2:5" ht="12.75">
      <c r="B124" s="140" t="s">
        <v>285</v>
      </c>
      <c r="C124" s="234">
        <v>134324.1</v>
      </c>
      <c r="D124" s="218">
        <v>147755.96</v>
      </c>
      <c r="E124" s="213">
        <f aca="true" t="shared" si="3" ref="E124:E131">D124-C124</f>
        <v>13431.859999999986</v>
      </c>
    </row>
    <row r="125" spans="2:5" ht="12.75">
      <c r="B125" s="115" t="s">
        <v>637</v>
      </c>
      <c r="C125" s="10">
        <v>65299.65</v>
      </c>
      <c r="D125" s="98">
        <v>72292.2</v>
      </c>
      <c r="E125" s="214">
        <f t="shared" si="3"/>
        <v>6992.549999999996</v>
      </c>
    </row>
    <row r="126" spans="2:5" ht="12.75">
      <c r="B126" s="115" t="s">
        <v>364</v>
      </c>
      <c r="C126" s="10">
        <v>19398.55</v>
      </c>
      <c r="D126" s="98">
        <v>12389.52</v>
      </c>
      <c r="E126" s="214">
        <f t="shared" si="3"/>
        <v>-7009.029999999999</v>
      </c>
    </row>
    <row r="127" spans="2:5" ht="12.75">
      <c r="B127" s="115" t="s">
        <v>633</v>
      </c>
      <c r="C127" s="10">
        <v>23293.5</v>
      </c>
      <c r="D127" s="98">
        <v>25691.04</v>
      </c>
      <c r="E127" s="288">
        <f t="shared" si="3"/>
        <v>2397.540000000001</v>
      </c>
    </row>
    <row r="128" spans="2:5" ht="12.75">
      <c r="B128" s="115" t="s">
        <v>29</v>
      </c>
      <c r="C128" s="10">
        <f>3500+2400+5000+24000</f>
        <v>34900</v>
      </c>
      <c r="D128" s="98">
        <f>4200+2400+5000+33000</f>
        <v>44600</v>
      </c>
      <c r="E128" s="214">
        <f t="shared" si="3"/>
        <v>9700</v>
      </c>
    </row>
    <row r="129" spans="2:5" ht="12.75">
      <c r="B129" s="269" t="s">
        <v>1073</v>
      </c>
      <c r="C129" s="125">
        <f>2.52+9927.83</f>
        <v>9930.35</v>
      </c>
      <c r="D129" s="125">
        <f>402.96+9927.83</f>
        <v>10330.789999999999</v>
      </c>
      <c r="E129" s="214">
        <f t="shared" si="3"/>
        <v>400.4399999999987</v>
      </c>
    </row>
    <row r="130" spans="2:5" ht="12.75">
      <c r="B130" s="352" t="s">
        <v>393</v>
      </c>
      <c r="C130" s="258">
        <v>3965.61</v>
      </c>
      <c r="D130" s="258">
        <v>4852.98</v>
      </c>
      <c r="E130" s="214">
        <f t="shared" si="3"/>
        <v>887.3699999999994</v>
      </c>
    </row>
    <row r="131" spans="2:5" ht="13.5" thickBot="1">
      <c r="B131" s="157" t="s">
        <v>805</v>
      </c>
      <c r="C131" s="225">
        <v>7115.28</v>
      </c>
      <c r="D131" s="227">
        <v>14281.02</v>
      </c>
      <c r="E131" s="228">
        <f t="shared" si="3"/>
        <v>7165.740000000001</v>
      </c>
    </row>
    <row r="132" spans="2:5" ht="13.5" thickBot="1">
      <c r="B132" s="187"/>
      <c r="C132" s="217">
        <f>SUM(C124:C131)</f>
        <v>298227.04</v>
      </c>
      <c r="D132" s="217">
        <f>SUM(D124:D131)</f>
        <v>332193.50999999995</v>
      </c>
      <c r="E132" s="217">
        <f>SUM(E124:E131)</f>
        <v>33966.46999999998</v>
      </c>
    </row>
    <row r="133" spans="2:5" ht="13.5" thickBot="1">
      <c r="B133" s="366" t="s">
        <v>379</v>
      </c>
      <c r="C133" s="367"/>
      <c r="D133" s="367"/>
      <c r="E133" s="368"/>
    </row>
    <row r="134" spans="2:5" ht="13.5" thickBot="1">
      <c r="B134" s="153"/>
      <c r="C134" s="175">
        <f>C94+C102+C110+C122+C132</f>
        <v>1339213.71</v>
      </c>
      <c r="D134" s="175">
        <f>D94+D102+D110+D122+D132</f>
        <v>1419650.29</v>
      </c>
      <c r="E134" s="176">
        <f>E94+E102+E110+E122+E132</f>
        <v>80436.57999999999</v>
      </c>
    </row>
  </sheetData>
  <sheetProtection/>
  <mergeCells count="23">
    <mergeCell ref="B103:E103"/>
    <mergeCell ref="D81:E81"/>
    <mergeCell ref="D82:E82"/>
    <mergeCell ref="D83:E83"/>
    <mergeCell ref="D84:E84"/>
    <mergeCell ref="B111:E111"/>
    <mergeCell ref="B133:E133"/>
    <mergeCell ref="B123:E123"/>
    <mergeCell ref="D85:E85"/>
    <mergeCell ref="B88:E88"/>
    <mergeCell ref="B95:E95"/>
    <mergeCell ref="A22:D22"/>
    <mergeCell ref="D26:E26"/>
    <mergeCell ref="D77:E77"/>
    <mergeCell ref="D78:E78"/>
    <mergeCell ref="D79:E79"/>
    <mergeCell ref="D80:E80"/>
    <mergeCell ref="A2:B2"/>
    <mergeCell ref="C2:E2"/>
    <mergeCell ref="C3:E3"/>
    <mergeCell ref="B4:E4"/>
    <mergeCell ref="A6:E6"/>
    <mergeCell ref="A21:D2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55.125" style="0" customWidth="1"/>
    <col min="3" max="3" width="11.75390625" style="0" customWidth="1"/>
    <col min="4" max="4" width="13.00390625" style="0" customWidth="1"/>
    <col min="5" max="5" width="13.2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9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333</v>
      </c>
      <c r="C7" s="26"/>
      <c r="D7" s="24"/>
    </row>
    <row r="8" spans="1:4" ht="15">
      <c r="A8" s="26"/>
      <c r="B8" s="27" t="s">
        <v>115</v>
      </c>
      <c r="C8" s="38">
        <v>2386.8</v>
      </c>
      <c r="D8" s="92" t="s">
        <v>116</v>
      </c>
    </row>
    <row r="9" spans="1:4" ht="15">
      <c r="A9" s="26"/>
      <c r="B9" s="27" t="s">
        <v>654</v>
      </c>
      <c r="C9" s="93">
        <v>104.7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286627.89</v>
      </c>
      <c r="D12" s="218">
        <v>297086.6</v>
      </c>
      <c r="E12" s="242">
        <f aca="true" t="shared" si="0" ref="E12:E18">D12-C12</f>
        <v>10458.709999999963</v>
      </c>
    </row>
    <row r="13" spans="1:5" ht="12.75">
      <c r="A13" s="84">
        <v>2</v>
      </c>
      <c r="B13" s="5" t="s">
        <v>637</v>
      </c>
      <c r="C13" s="10">
        <v>140168.83</v>
      </c>
      <c r="D13" s="98">
        <v>145009.73</v>
      </c>
      <c r="E13" s="57">
        <f t="shared" si="0"/>
        <v>4840.900000000023</v>
      </c>
    </row>
    <row r="14" spans="1:5" ht="12.75">
      <c r="A14" s="84">
        <v>3</v>
      </c>
      <c r="B14" s="5" t="s">
        <v>364</v>
      </c>
      <c r="C14" s="10">
        <v>4553.48</v>
      </c>
      <c r="D14" s="98">
        <v>7802.52</v>
      </c>
      <c r="E14" s="57">
        <f t="shared" si="0"/>
        <v>3249.040000000001</v>
      </c>
    </row>
    <row r="15" spans="1:5" ht="12.75">
      <c r="A15" s="84">
        <v>4</v>
      </c>
      <c r="B15" s="5" t="s">
        <v>633</v>
      </c>
      <c r="C15" s="10">
        <v>46816.59</v>
      </c>
      <c r="D15" s="98">
        <v>49746.31</v>
      </c>
      <c r="E15" s="57">
        <f t="shared" si="0"/>
        <v>2929.720000000001</v>
      </c>
    </row>
    <row r="16" spans="1:5" ht="12.75">
      <c r="A16" s="84">
        <v>5</v>
      </c>
      <c r="B16" s="5" t="s">
        <v>1061</v>
      </c>
      <c r="C16" s="10">
        <f>3500+2400+3600</f>
        <v>9500</v>
      </c>
      <c r="D16" s="98">
        <f>4200+2400+3300</f>
        <v>9900</v>
      </c>
      <c r="E16" s="57">
        <f t="shared" si="0"/>
        <v>400</v>
      </c>
    </row>
    <row r="17" spans="1:5" ht="12.75">
      <c r="A17" s="87">
        <v>6</v>
      </c>
      <c r="B17" s="5" t="s">
        <v>805</v>
      </c>
      <c r="C17" s="67">
        <f>13219.11+7390.18</f>
        <v>20609.29</v>
      </c>
      <c r="D17" s="83">
        <f>10099.86+11520.84</f>
        <v>21620.7</v>
      </c>
      <c r="E17" s="57">
        <f t="shared" si="0"/>
        <v>1011.4099999999999</v>
      </c>
    </row>
    <row r="18" spans="1:5" ht="13.5" thickBot="1">
      <c r="A18" s="261">
        <v>7</v>
      </c>
      <c r="B18" s="276" t="s">
        <v>1073</v>
      </c>
      <c r="C18" s="225">
        <v>64868.35</v>
      </c>
      <c r="D18" s="227">
        <v>108775.28</v>
      </c>
      <c r="E18" s="222">
        <f t="shared" si="0"/>
        <v>43906.93</v>
      </c>
    </row>
    <row r="19" spans="1:5" ht="13.5" thickBot="1">
      <c r="A19" s="250"/>
      <c r="B19" s="251"/>
      <c r="C19" s="118">
        <f>SUM(C12:C18)</f>
        <v>573144.4299999999</v>
      </c>
      <c r="D19" s="118">
        <f>SUM(D12:D18)</f>
        <v>639941.14</v>
      </c>
      <c r="E19" s="137">
        <f>SUM(E12:E18)</f>
        <v>66796.70999999999</v>
      </c>
    </row>
    <row r="20" spans="1:5" ht="12.75">
      <c r="A20" s="385" t="s">
        <v>793</v>
      </c>
      <c r="B20" s="386"/>
      <c r="C20" s="386"/>
      <c r="D20" s="386"/>
      <c r="E20" s="108">
        <f>E125</f>
        <v>144412.86000000002</v>
      </c>
    </row>
    <row r="21" spans="1:5" ht="12.75">
      <c r="A21" s="387" t="s">
        <v>794</v>
      </c>
      <c r="B21" s="384"/>
      <c r="C21" s="384"/>
      <c r="D21" s="384"/>
      <c r="E21" s="22">
        <v>235665.4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446</v>
      </c>
      <c r="C24" s="80">
        <f>C63</f>
        <v>246051</v>
      </c>
      <c r="E24" s="29"/>
    </row>
    <row r="25" spans="1:5" ht="12.75">
      <c r="A25" s="91">
        <v>2</v>
      </c>
      <c r="B25" s="25" t="s">
        <v>344</v>
      </c>
      <c r="C25" s="102">
        <f>C68</f>
        <v>10642.15</v>
      </c>
      <c r="D25" s="388"/>
      <c r="E25" s="389"/>
    </row>
    <row r="26" spans="1:5" ht="12.75">
      <c r="A26" s="84">
        <v>3</v>
      </c>
      <c r="B26" s="9" t="s">
        <v>649</v>
      </c>
      <c r="C26" s="48">
        <v>1389.05</v>
      </c>
      <c r="E26" s="29"/>
    </row>
    <row r="27" spans="1:5" ht="12.75">
      <c r="A27" s="84">
        <v>4</v>
      </c>
      <c r="B27" s="9" t="s">
        <v>122</v>
      </c>
      <c r="C27" s="48">
        <f>(C8*0.55*12)</f>
        <v>15752.880000000003</v>
      </c>
      <c r="E27" s="29"/>
    </row>
    <row r="28" spans="1:5" ht="12.75">
      <c r="A28" s="84">
        <v>5</v>
      </c>
      <c r="B28" s="9" t="s">
        <v>658</v>
      </c>
      <c r="C28" s="79">
        <v>29391.96</v>
      </c>
      <c r="E28" s="29"/>
    </row>
    <row r="29" spans="1:5" ht="12.75">
      <c r="A29" s="91">
        <v>6</v>
      </c>
      <c r="B29" s="25" t="s">
        <v>61</v>
      </c>
      <c r="C29" s="96">
        <v>1200</v>
      </c>
      <c r="E29" s="29"/>
    </row>
    <row r="30" spans="1:5" ht="12.75">
      <c r="A30" s="91">
        <v>7</v>
      </c>
      <c r="B30" s="25" t="s">
        <v>705</v>
      </c>
      <c r="C30" s="96">
        <v>112600.06</v>
      </c>
      <c r="E30" s="29"/>
    </row>
    <row r="31" spans="1:5" ht="12.75">
      <c r="A31" s="91">
        <v>8</v>
      </c>
      <c r="B31" s="346" t="s">
        <v>26</v>
      </c>
      <c r="C31" s="96">
        <v>600</v>
      </c>
      <c r="E31" s="29"/>
    </row>
    <row r="32" spans="1:5" ht="25.5">
      <c r="A32" s="91">
        <v>9</v>
      </c>
      <c r="B32" s="25" t="s">
        <v>60</v>
      </c>
      <c r="C32" s="96">
        <v>7900</v>
      </c>
      <c r="E32" s="29"/>
    </row>
    <row r="33" spans="1:5" ht="25.5">
      <c r="A33" s="91">
        <v>10</v>
      </c>
      <c r="B33" s="25" t="s">
        <v>327</v>
      </c>
      <c r="C33" s="96">
        <v>4390.81</v>
      </c>
      <c r="E33" s="29"/>
    </row>
    <row r="34" spans="1:5" ht="12.75">
      <c r="A34" s="91">
        <v>11</v>
      </c>
      <c r="B34" s="25" t="s">
        <v>1175</v>
      </c>
      <c r="C34" s="349">
        <v>5008.27</v>
      </c>
      <c r="E34" s="29"/>
    </row>
    <row r="35" spans="1:5" ht="12.75">
      <c r="A35" s="91">
        <v>12</v>
      </c>
      <c r="B35" s="109" t="s">
        <v>718</v>
      </c>
      <c r="C35" s="349">
        <v>3330.7</v>
      </c>
      <c r="E35" s="29"/>
    </row>
    <row r="36" spans="1:3" ht="12.75">
      <c r="A36" s="50"/>
      <c r="B36" s="20" t="s">
        <v>629</v>
      </c>
      <c r="C36" s="51">
        <f>SUM(C24:C35)</f>
        <v>438256.88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(C19)*15%</f>
        <v>85971.66449999998</v>
      </c>
    </row>
    <row r="39" spans="1:3" ht="12.75">
      <c r="A39" s="84">
        <v>2</v>
      </c>
      <c r="B39" s="9" t="s">
        <v>813</v>
      </c>
      <c r="C39" s="48">
        <f>C74</f>
        <v>5169.464633972432</v>
      </c>
    </row>
    <row r="40" spans="1:3" ht="12.75">
      <c r="A40" s="84">
        <v>3</v>
      </c>
      <c r="B40" s="9" t="s">
        <v>653</v>
      </c>
      <c r="C40" s="48">
        <f>C75</f>
        <v>5614.804571943344</v>
      </c>
    </row>
    <row r="41" spans="1:3" ht="12.75">
      <c r="A41" s="84">
        <v>4</v>
      </c>
      <c r="B41" s="9" t="s">
        <v>1114</v>
      </c>
      <c r="C41" s="52">
        <f>C76</f>
        <v>11398.277774230257</v>
      </c>
    </row>
    <row r="42" spans="1:3" ht="12.75">
      <c r="A42" s="84">
        <v>5</v>
      </c>
      <c r="B42" s="9" t="s">
        <v>162</v>
      </c>
      <c r="C42" s="52">
        <f>C77</f>
        <v>8693.913595410555</v>
      </c>
    </row>
    <row r="43" spans="1:3" ht="12.75">
      <c r="A43" s="84">
        <v>6</v>
      </c>
      <c r="B43" s="9" t="s">
        <v>1051</v>
      </c>
      <c r="C43" s="48">
        <f>C78+C80+C81+C82+C79</f>
        <v>14753.534617197958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131601.65969275453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C19*2%</f>
        <v>11462.888599999998</v>
      </c>
    </row>
    <row r="51" spans="1:3" ht="12.75">
      <c r="A51" s="84">
        <v>2</v>
      </c>
      <c r="B51" s="9" t="s">
        <v>391</v>
      </c>
      <c r="C51" s="48">
        <f>C52</f>
        <v>33700.892483999996</v>
      </c>
    </row>
    <row r="52" spans="1:4" ht="12.75">
      <c r="A52" s="49"/>
      <c r="B52" s="5" t="s">
        <v>334</v>
      </c>
      <c r="C52" s="41">
        <f>(C19-C50)*6%</f>
        <v>33700.892483999996</v>
      </c>
      <c r="D52" s="19"/>
    </row>
    <row r="53" spans="1:3" ht="13.5" thickBot="1">
      <c r="A53" s="54"/>
      <c r="B53" s="55" t="s">
        <v>967</v>
      </c>
      <c r="C53" s="56">
        <f>C50+C51</f>
        <v>45163.781083999995</v>
      </c>
    </row>
    <row r="54" spans="1:3" ht="12.75">
      <c r="A54" s="23"/>
      <c r="B54" s="4" t="s">
        <v>288</v>
      </c>
      <c r="C54" s="11">
        <f>C36+C48+C53</f>
        <v>615022.3207767545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1">
        <v>202338.19</v>
      </c>
    </row>
    <row r="57" spans="1:3" ht="15">
      <c r="A57" s="23"/>
      <c r="B57" s="14" t="s">
        <v>180</v>
      </c>
      <c r="C57" s="11">
        <f>C54+C56-C19</f>
        <v>244216.08077675453</v>
      </c>
    </row>
    <row r="58" ht="12.75">
      <c r="B58" s="1" t="s">
        <v>85</v>
      </c>
    </row>
    <row r="59" ht="18.75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719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2491.5</v>
      </c>
      <c r="E62" t="s">
        <v>116</v>
      </c>
    </row>
    <row r="63" spans="1:5" ht="12.75">
      <c r="A63" s="60" t="s">
        <v>218</v>
      </c>
      <c r="B63" s="39" t="s">
        <v>832</v>
      </c>
      <c r="C63" s="47">
        <v>246051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10843.5</v>
      </c>
      <c r="D65" s="15"/>
      <c r="E65" s="15"/>
    </row>
    <row r="66" spans="1:5" ht="12.75">
      <c r="A66" s="62" t="s">
        <v>166</v>
      </c>
      <c r="B66" s="6" t="s">
        <v>371</v>
      </c>
      <c r="C66" s="41">
        <v>23579.13</v>
      </c>
      <c r="D66" s="15"/>
      <c r="E66" s="15"/>
    </row>
    <row r="67" spans="1:5" ht="13.5" thickBot="1">
      <c r="A67" s="63" t="s">
        <v>166</v>
      </c>
      <c r="B67" s="42" t="s">
        <v>818</v>
      </c>
      <c r="C67" s="46">
        <v>7030.15</v>
      </c>
      <c r="D67" s="15"/>
      <c r="E67" s="15"/>
    </row>
    <row r="68" spans="1:5" ht="12.75">
      <c r="A68" s="60" t="s">
        <v>328</v>
      </c>
      <c r="B68" s="39" t="s">
        <v>343</v>
      </c>
      <c r="C68" s="47">
        <v>10642.15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990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136.48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131601.65969275453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C38</f>
        <v>85971.66449999998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5169.464633972432</v>
      </c>
      <c r="D74" s="375" t="s">
        <v>709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5614.804571943344</v>
      </c>
      <c r="D75" s="377" t="s">
        <v>710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11398.277774230257</v>
      </c>
      <c r="D76" s="379" t="s">
        <v>711</v>
      </c>
      <c r="E76" s="380"/>
    </row>
    <row r="77" spans="1:5" ht="25.5">
      <c r="A77" s="73" t="s">
        <v>166</v>
      </c>
      <c r="B77" s="72" t="s">
        <v>231</v>
      </c>
      <c r="C77" s="318">
        <f>845684.35/242356.05*D62</f>
        <v>8693.913595410555</v>
      </c>
      <c r="D77" s="381" t="s">
        <v>712</v>
      </c>
      <c r="E77" s="382"/>
    </row>
    <row r="78" spans="1:5" ht="12.75">
      <c r="A78" s="73" t="s">
        <v>166</v>
      </c>
      <c r="B78" s="74" t="s">
        <v>808</v>
      </c>
      <c r="C78" s="318">
        <f>642562.44/242356.05*D62</f>
        <v>6605.753474113809</v>
      </c>
      <c r="D78" s="371" t="s">
        <v>713</v>
      </c>
      <c r="E78" s="372"/>
    </row>
    <row r="79" spans="1:5" ht="12.75">
      <c r="A79" s="73" t="s">
        <v>166</v>
      </c>
      <c r="B79" s="74" t="s">
        <v>826</v>
      </c>
      <c r="C79" s="318">
        <f>51615/196822.43*D62</f>
        <v>653.3745798179608</v>
      </c>
      <c r="D79" s="371" t="s">
        <v>714</v>
      </c>
      <c r="E79" s="372"/>
    </row>
    <row r="80" spans="1:5" ht="12.75">
      <c r="A80" s="73" t="s">
        <v>166</v>
      </c>
      <c r="B80" s="74" t="s">
        <v>655</v>
      </c>
      <c r="C80" s="318">
        <f>129011.28/196822.43*D62</f>
        <v>1633.1045405749742</v>
      </c>
      <c r="D80" s="371" t="s">
        <v>715</v>
      </c>
      <c r="E80" s="372"/>
    </row>
    <row r="81" spans="1:5" ht="12.75">
      <c r="A81" s="73" t="s">
        <v>166</v>
      </c>
      <c r="B81" s="74" t="s">
        <v>656</v>
      </c>
      <c r="C81" s="318">
        <f>164128/196822.43*D62</f>
        <v>2077.6336924607626</v>
      </c>
      <c r="D81" s="373" t="s">
        <v>716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298900.58/196822.43*D62</f>
        <v>3783.668330230452</v>
      </c>
      <c r="D82" s="369" t="s">
        <v>717</v>
      </c>
      <c r="E82" s="370"/>
    </row>
    <row r="83" ht="13.5" thickBot="1"/>
    <row r="84" spans="2:5" ht="24.75" thickBot="1">
      <c r="B84" s="143"/>
      <c r="C84" s="159" t="s">
        <v>104</v>
      </c>
      <c r="D84" s="161" t="s">
        <v>306</v>
      </c>
      <c r="E84" s="160" t="s">
        <v>1115</v>
      </c>
    </row>
    <row r="85" spans="2:5" ht="13.5" thickBot="1">
      <c r="B85" s="363" t="s">
        <v>659</v>
      </c>
      <c r="C85" s="364"/>
      <c r="D85" s="364"/>
      <c r="E85" s="365"/>
    </row>
    <row r="86" spans="2:5" ht="12.75">
      <c r="B86" s="140" t="s">
        <v>285</v>
      </c>
      <c r="C86" s="212">
        <v>164536.26</v>
      </c>
      <c r="D86" s="212">
        <v>180211.67</v>
      </c>
      <c r="E86" s="213">
        <f>D86-C86</f>
        <v>15675.410000000003</v>
      </c>
    </row>
    <row r="87" spans="2:5" ht="12.75">
      <c r="B87" s="115" t="s">
        <v>637</v>
      </c>
      <c r="C87" s="18">
        <v>92552.76</v>
      </c>
      <c r="D87" s="18">
        <v>100864.98</v>
      </c>
      <c r="E87" s="214">
        <f>D87-C87</f>
        <v>8312.220000000001</v>
      </c>
    </row>
    <row r="88" spans="2:5" ht="13.5" thickBot="1">
      <c r="B88" s="116" t="s">
        <v>805</v>
      </c>
      <c r="C88" s="103">
        <v>6104.52</v>
      </c>
      <c r="D88" s="103">
        <v>6000</v>
      </c>
      <c r="E88" s="221">
        <f>D88-C88</f>
        <v>-104.52000000000044</v>
      </c>
    </row>
    <row r="89" spans="2:5" ht="13.5" thickBot="1">
      <c r="B89" s="143"/>
      <c r="C89" s="167">
        <f>SUM(C86:C88)</f>
        <v>263193.54000000004</v>
      </c>
      <c r="D89" s="167">
        <f>SUM(D86:D88)</f>
        <v>287076.65</v>
      </c>
      <c r="E89" s="167">
        <f>SUM(E86:E88)</f>
        <v>23883.110000000004</v>
      </c>
    </row>
    <row r="90" spans="2:5" ht="13.5" thickBot="1">
      <c r="B90" s="363" t="s">
        <v>660</v>
      </c>
      <c r="C90" s="364"/>
      <c r="D90" s="364"/>
      <c r="E90" s="365"/>
    </row>
    <row r="91" spans="2:5" ht="12.75">
      <c r="B91" s="140" t="s">
        <v>285</v>
      </c>
      <c r="C91" s="141">
        <v>215005.85</v>
      </c>
      <c r="D91" s="155">
        <v>235569.9</v>
      </c>
      <c r="E91" s="213">
        <f>D91-C91</f>
        <v>20564.04999999999</v>
      </c>
    </row>
    <row r="92" spans="2:5" ht="12.75">
      <c r="B92" s="115" t="s">
        <v>637</v>
      </c>
      <c r="C92" s="5">
        <v>106976.18</v>
      </c>
      <c r="D92" s="33">
        <v>116496.1</v>
      </c>
      <c r="E92" s="214">
        <f>D92-C92</f>
        <v>9519.920000000013</v>
      </c>
    </row>
    <row r="93" spans="2:5" ht="12.75">
      <c r="B93" s="115" t="s">
        <v>633</v>
      </c>
      <c r="C93" s="65">
        <v>16473.44</v>
      </c>
      <c r="D93" s="70">
        <v>28363.17</v>
      </c>
      <c r="E93" s="214">
        <f>D93-C93</f>
        <v>11889.73</v>
      </c>
    </row>
    <row r="94" spans="2:5" ht="12.75">
      <c r="B94" s="115" t="s">
        <v>113</v>
      </c>
      <c r="C94" s="65">
        <v>8314.52</v>
      </c>
      <c r="D94" s="70">
        <v>8314.56</v>
      </c>
      <c r="E94" s="214">
        <f>D94-C94</f>
        <v>0.039999999999054126</v>
      </c>
    </row>
    <row r="95" spans="2:5" ht="13.5" thickBot="1">
      <c r="B95" s="157" t="s">
        <v>805</v>
      </c>
      <c r="C95" s="225">
        <v>17759.72</v>
      </c>
      <c r="D95" s="226">
        <v>22476.36</v>
      </c>
      <c r="E95" s="216">
        <f>D95-C95</f>
        <v>4716.639999999999</v>
      </c>
    </row>
    <row r="96" spans="2:5" ht="13.5" thickBot="1">
      <c r="B96" s="302"/>
      <c r="C96" s="303">
        <f>SUM(C91:C95)</f>
        <v>364529.7100000001</v>
      </c>
      <c r="D96" s="303">
        <f>SUM(D91:D95)</f>
        <v>411220.08999999997</v>
      </c>
      <c r="E96" s="303">
        <f>SUM(E91:E95)</f>
        <v>46690.38</v>
      </c>
    </row>
    <row r="97" spans="2:5" ht="13.5" thickBot="1">
      <c r="B97" s="363" t="s">
        <v>419</v>
      </c>
      <c r="C97" s="364"/>
      <c r="D97" s="364"/>
      <c r="E97" s="365"/>
    </row>
    <row r="98" spans="2:5" ht="12.75">
      <c r="B98" s="140" t="s">
        <v>285</v>
      </c>
      <c r="C98" s="141">
        <v>232803.92</v>
      </c>
      <c r="D98" s="218">
        <v>249181.92</v>
      </c>
      <c r="E98" s="213">
        <f aca="true" t="shared" si="1" ref="E98:E103">D98-C98</f>
        <v>16378</v>
      </c>
    </row>
    <row r="99" spans="2:5" ht="12.75">
      <c r="B99" s="115" t="s">
        <v>637</v>
      </c>
      <c r="C99" s="5">
        <v>112747.96</v>
      </c>
      <c r="D99" s="99">
        <v>121153.97</v>
      </c>
      <c r="E99" s="214">
        <f t="shared" si="1"/>
        <v>8406.009999999995</v>
      </c>
    </row>
    <row r="100" spans="2:5" ht="12.75">
      <c r="B100" s="220" t="s">
        <v>633</v>
      </c>
      <c r="C100" s="125">
        <v>28711.45</v>
      </c>
      <c r="D100" s="125">
        <v>31136.55</v>
      </c>
      <c r="E100" s="214">
        <f t="shared" si="1"/>
        <v>2425.0999999999985</v>
      </c>
    </row>
    <row r="101" spans="2:5" ht="12.75">
      <c r="B101" s="220" t="s">
        <v>113</v>
      </c>
      <c r="C101" s="125">
        <v>12100</v>
      </c>
      <c r="D101" s="125">
        <v>12100</v>
      </c>
      <c r="E101" s="214">
        <f t="shared" si="1"/>
        <v>0</v>
      </c>
    </row>
    <row r="102" spans="2:5" ht="12.75">
      <c r="B102" s="115" t="s">
        <v>805</v>
      </c>
      <c r="C102" s="10">
        <v>8743.24</v>
      </c>
      <c r="D102" s="98">
        <v>18936.15</v>
      </c>
      <c r="E102" s="214">
        <f t="shared" si="1"/>
        <v>10192.910000000002</v>
      </c>
    </row>
    <row r="103" spans="2:5" ht="26.25" thickBot="1">
      <c r="B103" s="156" t="s">
        <v>119</v>
      </c>
      <c r="C103" s="142">
        <v>3200</v>
      </c>
      <c r="D103" s="142">
        <v>3200</v>
      </c>
      <c r="E103" s="228">
        <f t="shared" si="1"/>
        <v>0</v>
      </c>
    </row>
    <row r="104" spans="2:5" ht="13.5" thickBot="1">
      <c r="B104" s="187"/>
      <c r="C104" s="217">
        <f>SUM(C94:C103)</f>
        <v>788910.52</v>
      </c>
      <c r="D104" s="217">
        <f>SUM(D94:D103)</f>
        <v>877719.6</v>
      </c>
      <c r="E104" s="217">
        <f>SUM(E98:E103)</f>
        <v>37402.02</v>
      </c>
    </row>
    <row r="105" spans="2:5" ht="13.5" thickBot="1">
      <c r="B105" s="363" t="s">
        <v>381</v>
      </c>
      <c r="C105" s="364"/>
      <c r="D105" s="364"/>
      <c r="E105" s="365"/>
    </row>
    <row r="106" spans="2:5" ht="12.75">
      <c r="B106" s="140" t="s">
        <v>285</v>
      </c>
      <c r="C106" s="141">
        <v>357857.01</v>
      </c>
      <c r="D106" s="155">
        <v>342297.95</v>
      </c>
      <c r="E106" s="213">
        <f aca="true" t="shared" si="2" ref="E106:E113">D106-C106</f>
        <v>-15559.059999999998</v>
      </c>
    </row>
    <row r="107" spans="2:5" ht="12.75">
      <c r="B107" s="115" t="s">
        <v>637</v>
      </c>
      <c r="C107" s="5">
        <v>174533.65</v>
      </c>
      <c r="D107" s="33">
        <v>166805.41</v>
      </c>
      <c r="E107" s="214">
        <f t="shared" si="2"/>
        <v>-7728.239999999991</v>
      </c>
    </row>
    <row r="108" spans="2:5" ht="12.75">
      <c r="B108" s="115" t="s">
        <v>633</v>
      </c>
      <c r="C108" s="65">
        <v>58597.09</v>
      </c>
      <c r="D108" s="70">
        <v>57289.92</v>
      </c>
      <c r="E108" s="214">
        <f t="shared" si="2"/>
        <v>-1307.1699999999983</v>
      </c>
    </row>
    <row r="109" spans="2:5" ht="12.75">
      <c r="B109" s="115" t="s">
        <v>805</v>
      </c>
      <c r="C109" s="67">
        <v>31028.64</v>
      </c>
      <c r="D109" s="83">
        <v>23694.81</v>
      </c>
      <c r="E109" s="214">
        <f t="shared" si="2"/>
        <v>-7333.829999999998</v>
      </c>
    </row>
    <row r="110" spans="2:5" ht="12.75">
      <c r="B110" s="115" t="s">
        <v>163</v>
      </c>
      <c r="C110" s="65">
        <v>140.37</v>
      </c>
      <c r="D110" s="70">
        <v>389.63</v>
      </c>
      <c r="E110" s="214">
        <f t="shared" si="2"/>
        <v>249.26</v>
      </c>
    </row>
    <row r="111" spans="2:5" ht="12.75">
      <c r="B111" s="116" t="s">
        <v>415</v>
      </c>
      <c r="C111" s="94">
        <v>21075.88</v>
      </c>
      <c r="D111" s="83">
        <v>21895.56</v>
      </c>
      <c r="E111" s="214">
        <f t="shared" si="2"/>
        <v>819.6800000000003</v>
      </c>
    </row>
    <row r="112" spans="2:5" ht="12.75">
      <c r="B112" s="278" t="s">
        <v>792</v>
      </c>
      <c r="C112" s="122">
        <v>6300</v>
      </c>
      <c r="D112" s="122">
        <v>6800</v>
      </c>
      <c r="E112" s="214">
        <f t="shared" si="2"/>
        <v>500</v>
      </c>
    </row>
    <row r="113" spans="2:5" ht="13.5" thickBot="1">
      <c r="B113" s="157" t="s">
        <v>1200</v>
      </c>
      <c r="C113" s="229">
        <v>17046.56</v>
      </c>
      <c r="D113" s="229">
        <v>17046.56</v>
      </c>
      <c r="E113" s="216">
        <f t="shared" si="2"/>
        <v>0</v>
      </c>
    </row>
    <row r="114" spans="2:5" ht="13.5" thickBot="1">
      <c r="B114" s="187"/>
      <c r="C114" s="217">
        <f>SUM(C106:C113)</f>
        <v>666579.2000000001</v>
      </c>
      <c r="D114" s="217">
        <f>SUM(D106:D113)</f>
        <v>636219.8400000002</v>
      </c>
      <c r="E114" s="217">
        <f>SUM(E106:E113)</f>
        <v>-30359.359999999986</v>
      </c>
    </row>
    <row r="115" spans="2:5" ht="13.5" thickBot="1">
      <c r="B115" s="363" t="s">
        <v>87</v>
      </c>
      <c r="C115" s="364"/>
      <c r="D115" s="364"/>
      <c r="E115" s="365"/>
    </row>
    <row r="116" spans="2:5" ht="12.75">
      <c r="B116" s="140" t="s">
        <v>285</v>
      </c>
      <c r="C116" s="234">
        <v>286627.89</v>
      </c>
      <c r="D116" s="218">
        <v>297086.6</v>
      </c>
      <c r="E116" s="213">
        <f aca="true" t="shared" si="3" ref="E116:E122">D116-C116</f>
        <v>10458.709999999963</v>
      </c>
    </row>
    <row r="117" spans="2:5" ht="12.75">
      <c r="B117" s="115" t="s">
        <v>637</v>
      </c>
      <c r="C117" s="10">
        <v>140168.83</v>
      </c>
      <c r="D117" s="98">
        <v>145009.73</v>
      </c>
      <c r="E117" s="214">
        <f t="shared" si="3"/>
        <v>4840.900000000023</v>
      </c>
    </row>
    <row r="118" spans="2:5" ht="12.75">
      <c r="B118" s="115" t="s">
        <v>364</v>
      </c>
      <c r="C118" s="10">
        <v>4553.48</v>
      </c>
      <c r="D118" s="98">
        <v>7802.52</v>
      </c>
      <c r="E118" s="214">
        <f>D118-C118</f>
        <v>3249.040000000001</v>
      </c>
    </row>
    <row r="119" spans="2:5" ht="12.75">
      <c r="B119" s="115" t="s">
        <v>633</v>
      </c>
      <c r="C119" s="10">
        <v>46816.59</v>
      </c>
      <c r="D119" s="98">
        <v>49746.31</v>
      </c>
      <c r="E119" s="214">
        <f t="shared" si="3"/>
        <v>2929.720000000001</v>
      </c>
    </row>
    <row r="120" spans="2:5" ht="12.75">
      <c r="B120" s="115" t="s">
        <v>1061</v>
      </c>
      <c r="C120" s="10">
        <f>3500+2400+3600</f>
        <v>9500</v>
      </c>
      <c r="D120" s="98">
        <f>4200+2400+3300</f>
        <v>9900</v>
      </c>
      <c r="E120" s="288">
        <f t="shared" si="3"/>
        <v>400</v>
      </c>
    </row>
    <row r="121" spans="2:5" ht="12.75">
      <c r="B121" s="115" t="s">
        <v>805</v>
      </c>
      <c r="C121" s="67">
        <f>13219.11+7390.18</f>
        <v>20609.29</v>
      </c>
      <c r="D121" s="83">
        <f>10099.86+11520.84</f>
        <v>21620.7</v>
      </c>
      <c r="E121" s="214">
        <f t="shared" si="3"/>
        <v>1011.4099999999999</v>
      </c>
    </row>
    <row r="122" spans="2:5" ht="13.5" thickBot="1">
      <c r="B122" s="266" t="s">
        <v>1073</v>
      </c>
      <c r="C122" s="225">
        <v>64868.35</v>
      </c>
      <c r="D122" s="227">
        <v>108775.28</v>
      </c>
      <c r="E122" s="216">
        <f t="shared" si="3"/>
        <v>43906.93</v>
      </c>
    </row>
    <row r="123" spans="2:5" ht="13.5" thickBot="1">
      <c r="B123" s="187"/>
      <c r="C123" s="217">
        <f>SUM(C116:C122)</f>
        <v>573144.4299999999</v>
      </c>
      <c r="D123" s="217">
        <f>SUM(D116:D122)</f>
        <v>639941.14</v>
      </c>
      <c r="E123" s="217">
        <f>SUM(E116:E122)</f>
        <v>66796.70999999999</v>
      </c>
    </row>
    <row r="124" spans="2:5" ht="13.5" thickBot="1">
      <c r="B124" s="366" t="s">
        <v>379</v>
      </c>
      <c r="C124" s="367"/>
      <c r="D124" s="367"/>
      <c r="E124" s="368"/>
    </row>
    <row r="125" spans="2:5" ht="13.5" thickBot="1">
      <c r="B125" s="153"/>
      <c r="C125" s="175">
        <f>C89+C96+C104+C114+C123</f>
        <v>2656357.4000000004</v>
      </c>
      <c r="D125" s="175">
        <f>D89+D96+D104+D114+D123</f>
        <v>2852177.3200000003</v>
      </c>
      <c r="E125" s="175">
        <f>E89+E96+E104+E114+E123</f>
        <v>144412.86000000002</v>
      </c>
    </row>
  </sheetData>
  <sheetProtection/>
  <mergeCells count="23">
    <mergeCell ref="B97:E97"/>
    <mergeCell ref="D78:E78"/>
    <mergeCell ref="D79:E79"/>
    <mergeCell ref="D80:E80"/>
    <mergeCell ref="D81:E81"/>
    <mergeCell ref="B105:E105"/>
    <mergeCell ref="B124:E124"/>
    <mergeCell ref="B115:E115"/>
    <mergeCell ref="D82:E82"/>
    <mergeCell ref="B85:E85"/>
    <mergeCell ref="B90:E90"/>
    <mergeCell ref="A21:D21"/>
    <mergeCell ref="D25:E25"/>
    <mergeCell ref="D74:E74"/>
    <mergeCell ref="D75:E75"/>
    <mergeCell ref="D76:E76"/>
    <mergeCell ref="D77:E77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56.75390625" style="0" customWidth="1"/>
    <col min="3" max="3" width="10.875" style="0" customWidth="1"/>
    <col min="4" max="4" width="13.00390625" style="0" customWidth="1"/>
    <col min="5" max="5" width="12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386</v>
      </c>
      <c r="C7" s="26"/>
      <c r="D7" s="24"/>
    </row>
    <row r="8" spans="1:4" ht="15">
      <c r="A8" s="26"/>
      <c r="B8" s="27" t="s">
        <v>115</v>
      </c>
      <c r="C8" s="38">
        <v>2476.5</v>
      </c>
      <c r="D8" s="92" t="s">
        <v>116</v>
      </c>
    </row>
    <row r="9" spans="1:4" ht="15">
      <c r="A9" s="26"/>
      <c r="B9" s="27" t="s">
        <v>654</v>
      </c>
      <c r="C9" s="93">
        <v>134.5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276423.71</v>
      </c>
      <c r="D12" s="218">
        <v>304503.51</v>
      </c>
      <c r="E12" s="242">
        <f aca="true" t="shared" si="0" ref="E12:E18">D12-C12</f>
        <v>28079.79999999999</v>
      </c>
    </row>
    <row r="13" spans="1:5" ht="12.75">
      <c r="A13" s="84">
        <v>2</v>
      </c>
      <c r="B13" s="5" t="s">
        <v>637</v>
      </c>
      <c r="C13" s="10">
        <v>136590.01</v>
      </c>
      <c r="D13" s="98">
        <v>150524.4</v>
      </c>
      <c r="E13" s="57">
        <f t="shared" si="0"/>
        <v>13934.389999999985</v>
      </c>
    </row>
    <row r="14" spans="1:5" ht="12.75">
      <c r="A14" s="84">
        <v>3</v>
      </c>
      <c r="B14" s="5" t="s">
        <v>364</v>
      </c>
      <c r="C14" s="10">
        <v>86935.27</v>
      </c>
      <c r="D14" s="98">
        <v>84520.91</v>
      </c>
      <c r="E14" s="57">
        <f t="shared" si="0"/>
        <v>-2414.3600000000006</v>
      </c>
    </row>
    <row r="15" spans="1:5" ht="12.75">
      <c r="A15" s="84">
        <v>4</v>
      </c>
      <c r="B15" s="5" t="s">
        <v>633</v>
      </c>
      <c r="C15" s="10">
        <v>37358.88</v>
      </c>
      <c r="D15" s="98">
        <v>44041.17</v>
      </c>
      <c r="E15" s="57">
        <f t="shared" si="0"/>
        <v>6682.290000000001</v>
      </c>
    </row>
    <row r="16" spans="1:5" ht="12.75">
      <c r="A16" s="84">
        <v>5</v>
      </c>
      <c r="B16" s="5" t="s">
        <v>1061</v>
      </c>
      <c r="C16" s="10">
        <f>3500+2400+3600</f>
        <v>9500</v>
      </c>
      <c r="D16" s="98">
        <f>4200+2400+3300</f>
        <v>9900</v>
      </c>
      <c r="E16" s="57">
        <f t="shared" si="0"/>
        <v>400</v>
      </c>
    </row>
    <row r="17" spans="1:5" ht="12.75">
      <c r="A17" s="87">
        <v>6</v>
      </c>
      <c r="B17" s="5" t="s">
        <v>805</v>
      </c>
      <c r="C17" s="67">
        <v>24992.85</v>
      </c>
      <c r="D17" s="83">
        <f>24992.85</f>
        <v>24992.85</v>
      </c>
      <c r="E17" s="57">
        <f t="shared" si="0"/>
        <v>0</v>
      </c>
    </row>
    <row r="18" spans="1:5" ht="13.5" thickBot="1">
      <c r="A18" s="261">
        <v>7</v>
      </c>
      <c r="B18" s="357" t="s">
        <v>1088</v>
      </c>
      <c r="C18" s="225">
        <v>6520.89</v>
      </c>
      <c r="D18" s="227">
        <v>6520.89</v>
      </c>
      <c r="E18" s="222">
        <f t="shared" si="0"/>
        <v>0</v>
      </c>
    </row>
    <row r="19" spans="1:5" ht="13.5" thickBot="1">
      <c r="A19" s="250"/>
      <c r="B19" s="251"/>
      <c r="C19" s="118">
        <f>SUM(C12:C18)</f>
        <v>578321.61</v>
      </c>
      <c r="D19" s="118">
        <f>SUM(D12:D18)</f>
        <v>625003.7300000001</v>
      </c>
      <c r="E19" s="137">
        <f>SUM(E12:E18)</f>
        <v>46682.11999999997</v>
      </c>
    </row>
    <row r="20" spans="1:5" ht="12.75">
      <c r="A20" s="385" t="s">
        <v>793</v>
      </c>
      <c r="B20" s="386"/>
      <c r="C20" s="386"/>
      <c r="D20" s="386"/>
      <c r="E20" s="108">
        <f>E127</f>
        <v>75661.25999999997</v>
      </c>
    </row>
    <row r="21" spans="1:5" ht="12.75">
      <c r="A21" s="387" t="s">
        <v>794</v>
      </c>
      <c r="B21" s="384"/>
      <c r="C21" s="384"/>
      <c r="D21" s="384"/>
      <c r="E21" s="22">
        <v>75998.09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446</v>
      </c>
      <c r="C24" s="80">
        <f>C62</f>
        <v>223553.29</v>
      </c>
      <c r="E24" s="29"/>
    </row>
    <row r="25" spans="1:5" ht="12.75">
      <c r="A25" s="91">
        <v>2</v>
      </c>
      <c r="B25" s="25" t="s">
        <v>344</v>
      </c>
      <c r="C25" s="102">
        <f>C68</f>
        <v>11258.59</v>
      </c>
      <c r="D25" s="388"/>
      <c r="E25" s="389"/>
    </row>
    <row r="26" spans="1:5" ht="12.75">
      <c r="A26" s="84">
        <v>3</v>
      </c>
      <c r="B26" s="9" t="s">
        <v>649</v>
      </c>
      <c r="C26" s="48">
        <v>21524.16</v>
      </c>
      <c r="E26" s="29"/>
    </row>
    <row r="27" spans="1:5" ht="12.75">
      <c r="A27" s="84">
        <v>4</v>
      </c>
      <c r="B27" s="9" t="s">
        <v>122</v>
      </c>
      <c r="C27" s="48">
        <f>(C8*0.55*12)</f>
        <v>16344.900000000001</v>
      </c>
      <c r="E27" s="29"/>
    </row>
    <row r="28" spans="1:5" ht="12.75">
      <c r="A28" s="84">
        <v>5</v>
      </c>
      <c r="B28" s="9" t="s">
        <v>658</v>
      </c>
      <c r="C28" s="79">
        <v>38599.08</v>
      </c>
      <c r="E28" s="29"/>
    </row>
    <row r="29" spans="1:5" ht="12.75">
      <c r="A29" s="91">
        <v>6</v>
      </c>
      <c r="B29" s="25" t="s">
        <v>61</v>
      </c>
      <c r="C29" s="96">
        <v>2400</v>
      </c>
      <c r="E29" s="29"/>
    </row>
    <row r="30" spans="1:5" ht="12.75">
      <c r="A30" s="91">
        <v>7</v>
      </c>
      <c r="B30" s="346" t="s">
        <v>26</v>
      </c>
      <c r="C30" s="96">
        <v>600</v>
      </c>
      <c r="E30" s="29"/>
    </row>
    <row r="31" spans="1:5" ht="25.5">
      <c r="A31" s="91">
        <v>8</v>
      </c>
      <c r="B31" s="25" t="s">
        <v>60</v>
      </c>
      <c r="C31" s="96">
        <v>10700</v>
      </c>
      <c r="E31" s="29"/>
    </row>
    <row r="32" spans="1:5" ht="25.5">
      <c r="A32" s="91">
        <v>9</v>
      </c>
      <c r="B32" s="25" t="s">
        <v>327</v>
      </c>
      <c r="C32" s="96">
        <v>4071.48</v>
      </c>
      <c r="E32" s="29"/>
    </row>
    <row r="33" spans="1:5" ht="12.75">
      <c r="A33" s="91">
        <v>10</v>
      </c>
      <c r="B33" s="25" t="s">
        <v>1175</v>
      </c>
      <c r="C33" s="349">
        <v>4644.03</v>
      </c>
      <c r="E33" s="29"/>
    </row>
    <row r="34" spans="1:3" ht="12.75">
      <c r="A34" s="50"/>
      <c r="B34" s="20" t="s">
        <v>629</v>
      </c>
      <c r="C34" s="51">
        <f>SUM(C24:C33)</f>
        <v>333695.53</v>
      </c>
    </row>
    <row r="35" spans="1:3" ht="12.75">
      <c r="A35" s="49"/>
      <c r="B35" s="8" t="s">
        <v>965</v>
      </c>
      <c r="C35" s="45"/>
    </row>
    <row r="36" spans="1:3" ht="12.75">
      <c r="A36" s="84">
        <v>1</v>
      </c>
      <c r="B36" s="9" t="s">
        <v>228</v>
      </c>
      <c r="C36" s="48">
        <f>(C19)*15%</f>
        <v>86748.24149999999</v>
      </c>
    </row>
    <row r="37" spans="1:3" ht="12.75">
      <c r="A37" s="84">
        <v>2</v>
      </c>
      <c r="B37" s="9" t="s">
        <v>813</v>
      </c>
      <c r="C37" s="48">
        <f>C74</f>
        <v>5363.741899628259</v>
      </c>
    </row>
    <row r="38" spans="1:3" ht="12.75">
      <c r="A38" s="84">
        <v>3</v>
      </c>
      <c r="B38" s="9" t="s">
        <v>653</v>
      </c>
      <c r="C38" s="48">
        <f>C75</f>
        <v>5825.81846925494</v>
      </c>
    </row>
    <row r="39" spans="1:3" ht="12.75">
      <c r="A39" s="84">
        <v>4</v>
      </c>
      <c r="B39" s="9" t="s">
        <v>1114</v>
      </c>
      <c r="C39" s="52">
        <f>C76</f>
        <v>11826.644422608191</v>
      </c>
    </row>
    <row r="40" spans="1:3" ht="12.75">
      <c r="A40" s="84">
        <v>5</v>
      </c>
      <c r="B40" s="9" t="s">
        <v>162</v>
      </c>
      <c r="C40" s="52">
        <f>C77</f>
        <v>9110.900420476402</v>
      </c>
    </row>
    <row r="41" spans="1:3" ht="12.75">
      <c r="A41" s="84">
        <v>6</v>
      </c>
      <c r="B41" s="9" t="s">
        <v>1051</v>
      </c>
      <c r="C41" s="48">
        <f>C78+C80+C81+C82+C79</f>
        <v>15461.159496489612</v>
      </c>
    </row>
    <row r="42" spans="1:3" ht="12.75">
      <c r="A42" s="49"/>
      <c r="B42" s="74" t="s">
        <v>809</v>
      </c>
      <c r="C42" s="53"/>
    </row>
    <row r="43" spans="1:3" ht="12.75">
      <c r="A43" s="49"/>
      <c r="B43" s="5" t="s">
        <v>655</v>
      </c>
      <c r="C43" s="53"/>
    </row>
    <row r="44" spans="1:3" ht="12.75">
      <c r="A44" s="49"/>
      <c r="B44" s="74" t="s">
        <v>656</v>
      </c>
      <c r="C44" s="53"/>
    </row>
    <row r="45" spans="1:3" ht="12.75">
      <c r="A45" s="49"/>
      <c r="B45" s="74" t="s">
        <v>808</v>
      </c>
      <c r="C45" s="53"/>
    </row>
    <row r="46" spans="1:3" ht="12.75">
      <c r="A46" s="50"/>
      <c r="B46" s="20" t="s">
        <v>629</v>
      </c>
      <c r="C46" s="51">
        <f>C36+C37+C38+C39+C40+C41</f>
        <v>134336.5062084574</v>
      </c>
    </row>
    <row r="47" spans="1:3" ht="12.75">
      <c r="A47" s="49"/>
      <c r="B47" s="7" t="s">
        <v>966</v>
      </c>
      <c r="C47" s="45"/>
    </row>
    <row r="48" spans="1:3" ht="12.75">
      <c r="A48" s="84">
        <v>1</v>
      </c>
      <c r="B48" s="9" t="s">
        <v>631</v>
      </c>
      <c r="C48" s="48">
        <f>C19*2%</f>
        <v>11566.4322</v>
      </c>
    </row>
    <row r="49" spans="1:3" ht="12.75">
      <c r="A49" s="84">
        <v>2</v>
      </c>
      <c r="B49" s="9" t="s">
        <v>391</v>
      </c>
      <c r="C49" s="48">
        <f>C50</f>
        <v>34005.310668</v>
      </c>
    </row>
    <row r="50" spans="1:4" ht="12.75">
      <c r="A50" s="49"/>
      <c r="B50" s="5" t="s">
        <v>334</v>
      </c>
      <c r="C50" s="41">
        <f>(C19-C48)*6%</f>
        <v>34005.310668</v>
      </c>
      <c r="D50" s="19"/>
    </row>
    <row r="51" spans="1:3" ht="13.5" thickBot="1">
      <c r="A51" s="54"/>
      <c r="B51" s="55" t="s">
        <v>967</v>
      </c>
      <c r="C51" s="56">
        <f>C48+C49</f>
        <v>45571.742868</v>
      </c>
    </row>
    <row r="52" spans="1:3" ht="12.75">
      <c r="A52" s="23"/>
      <c r="B52" s="4" t="s">
        <v>288</v>
      </c>
      <c r="C52" s="11">
        <f>C34+C46+C51</f>
        <v>513603.77907645743</v>
      </c>
    </row>
    <row r="53" spans="1:3" ht="12.75">
      <c r="A53" s="23"/>
      <c r="B53" s="77"/>
      <c r="C53" s="1"/>
    </row>
    <row r="54" spans="1:3" ht="15">
      <c r="A54" s="23"/>
      <c r="B54" s="14" t="s">
        <v>812</v>
      </c>
      <c r="C54" s="11">
        <v>340824.77</v>
      </c>
    </row>
    <row r="55" spans="1:3" ht="15">
      <c r="A55" s="23"/>
      <c r="B55" s="14" t="s">
        <v>12</v>
      </c>
      <c r="C55" s="11">
        <v>25129.85</v>
      </c>
    </row>
    <row r="56" spans="1:3" ht="15">
      <c r="A56" s="23"/>
      <c r="B56" s="14" t="s">
        <v>180</v>
      </c>
      <c r="C56" s="11">
        <f>C52+C54-C19-C55</f>
        <v>250977.08907645752</v>
      </c>
    </row>
    <row r="57" ht="12.75">
      <c r="B57" s="1" t="s">
        <v>85</v>
      </c>
    </row>
    <row r="58" ht="15.7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316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C8+C9</f>
        <v>2611</v>
      </c>
      <c r="E61" t="s">
        <v>116</v>
      </c>
    </row>
    <row r="62" spans="1:5" ht="12.75">
      <c r="A62" s="60" t="s">
        <v>218</v>
      </c>
      <c r="B62" s="39" t="s">
        <v>832</v>
      </c>
      <c r="C62" s="47">
        <v>223553.29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4101</v>
      </c>
      <c r="D64" s="15"/>
      <c r="E64" s="15"/>
    </row>
    <row r="65" spans="1:5" ht="12.75">
      <c r="A65" s="62" t="s">
        <v>166</v>
      </c>
      <c r="B65" s="6" t="s">
        <v>371</v>
      </c>
      <c r="C65" s="41">
        <v>14656.94</v>
      </c>
      <c r="D65" s="15"/>
      <c r="E65" s="15"/>
    </row>
    <row r="66" spans="1:5" ht="12.75">
      <c r="A66" s="62" t="s">
        <v>166</v>
      </c>
      <c r="B66" s="6" t="s">
        <v>326</v>
      </c>
      <c r="C66" s="41">
        <v>2057</v>
      </c>
      <c r="D66" s="15"/>
      <c r="E66" s="15"/>
    </row>
    <row r="67" spans="1:5" ht="13.5" thickBot="1">
      <c r="A67" s="63" t="s">
        <v>166</v>
      </c>
      <c r="B67" s="42" t="s">
        <v>818</v>
      </c>
      <c r="C67" s="46">
        <v>6681.26</v>
      </c>
      <c r="D67" s="15"/>
      <c r="E67" s="15"/>
    </row>
    <row r="68" spans="1:5" ht="12.75">
      <c r="A68" s="60" t="s">
        <v>328</v>
      </c>
      <c r="B68" s="39" t="s">
        <v>343</v>
      </c>
      <c r="C68" s="47">
        <v>11258.59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1630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141.61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134336.5062084574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C36</f>
        <v>86748.24149999999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5363.741899628259</v>
      </c>
      <c r="D74" s="375" t="s">
        <v>317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5825.81846925494</v>
      </c>
      <c r="D75" s="377" t="s">
        <v>318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11826.644422608191</v>
      </c>
      <c r="D76" s="379" t="s">
        <v>319</v>
      </c>
      <c r="E76" s="380"/>
    </row>
    <row r="77" spans="1:5" ht="25.5">
      <c r="A77" s="73" t="s">
        <v>166</v>
      </c>
      <c r="B77" s="72" t="s">
        <v>231</v>
      </c>
      <c r="C77" s="318">
        <f>845684.35/242356.05*D61</f>
        <v>9110.900420476402</v>
      </c>
      <c r="D77" s="381" t="s">
        <v>320</v>
      </c>
      <c r="E77" s="382"/>
    </row>
    <row r="78" spans="1:5" ht="12.75">
      <c r="A78" s="73" t="s">
        <v>166</v>
      </c>
      <c r="B78" s="74" t="s">
        <v>808</v>
      </c>
      <c r="C78" s="318">
        <f>642562.44/242356.05*D61</f>
        <v>6922.585719811822</v>
      </c>
      <c r="D78" s="371" t="s">
        <v>321</v>
      </c>
      <c r="E78" s="372"/>
    </row>
    <row r="79" spans="1:5" ht="12.75">
      <c r="A79" s="73" t="s">
        <v>166</v>
      </c>
      <c r="B79" s="74" t="s">
        <v>826</v>
      </c>
      <c r="C79" s="318">
        <f>51615/196822.43*D61</f>
        <v>684.7124334355592</v>
      </c>
      <c r="D79" s="371" t="s">
        <v>322</v>
      </c>
      <c r="E79" s="372"/>
    </row>
    <row r="80" spans="1:5" ht="12.75">
      <c r="A80" s="73" t="s">
        <v>166</v>
      </c>
      <c r="B80" s="74" t="s">
        <v>655</v>
      </c>
      <c r="C80" s="318">
        <f>129011.28/196822.43*D61</f>
        <v>1711.4332552443336</v>
      </c>
      <c r="D80" s="371" t="s">
        <v>323</v>
      </c>
      <c r="E80" s="372"/>
    </row>
    <row r="81" spans="1:5" ht="12.75">
      <c r="A81" s="73" t="s">
        <v>166</v>
      </c>
      <c r="B81" s="74" t="s">
        <v>656</v>
      </c>
      <c r="C81" s="318">
        <f>164128/196822.43*D61</f>
        <v>2177.2833919386117</v>
      </c>
      <c r="D81" s="373" t="s">
        <v>324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298900.58/196822.43*D61</f>
        <v>3965.1446960592857</v>
      </c>
      <c r="D82" s="369" t="s">
        <v>325</v>
      </c>
      <c r="E82" s="370"/>
    </row>
    <row r="83" ht="13.5" thickBot="1"/>
    <row r="84" spans="2:5" ht="24.75" thickBot="1">
      <c r="B84" s="143"/>
      <c r="C84" s="159" t="s">
        <v>104</v>
      </c>
      <c r="D84" s="161" t="s">
        <v>306</v>
      </c>
      <c r="E84" s="160" t="s">
        <v>1115</v>
      </c>
    </row>
    <row r="85" spans="2:5" ht="13.5" thickBot="1">
      <c r="B85" s="363" t="s">
        <v>659</v>
      </c>
      <c r="C85" s="364"/>
      <c r="D85" s="364"/>
      <c r="E85" s="365"/>
    </row>
    <row r="86" spans="2:5" ht="12.75">
      <c r="B86" s="140" t="s">
        <v>285</v>
      </c>
      <c r="C86" s="212">
        <v>155359.18</v>
      </c>
      <c r="D86" s="212">
        <v>181103.62</v>
      </c>
      <c r="E86" s="213">
        <f>D86-C86</f>
        <v>25744.440000000002</v>
      </c>
    </row>
    <row r="87" spans="2:5" ht="12.75">
      <c r="B87" s="115" t="s">
        <v>637</v>
      </c>
      <c r="C87" s="18">
        <v>87421.61</v>
      </c>
      <c r="D87" s="18">
        <v>102440.45</v>
      </c>
      <c r="E87" s="214">
        <f>D87-C87</f>
        <v>15018.839999999997</v>
      </c>
    </row>
    <row r="88" spans="2:5" ht="12.75">
      <c r="B88" s="116" t="s">
        <v>633</v>
      </c>
      <c r="C88" s="103">
        <v>11336.88</v>
      </c>
      <c r="D88" s="103">
        <v>12803.94</v>
      </c>
      <c r="E88" s="214">
        <f>D88-C88</f>
        <v>1467.0600000000013</v>
      </c>
    </row>
    <row r="89" spans="2:5" ht="12.75">
      <c r="B89" s="116" t="s">
        <v>977</v>
      </c>
      <c r="C89" s="103">
        <v>6480</v>
      </c>
      <c r="D89" s="103">
        <v>6480</v>
      </c>
      <c r="E89" s="214">
        <f>D89-C89</f>
        <v>0</v>
      </c>
    </row>
    <row r="90" spans="2:5" ht="13.5" thickBot="1">
      <c r="B90" s="116" t="s">
        <v>805</v>
      </c>
      <c r="C90" s="103">
        <v>13242.87</v>
      </c>
      <c r="D90" s="103">
        <v>13242.87</v>
      </c>
      <c r="E90" s="221">
        <f>D90-C90</f>
        <v>0</v>
      </c>
    </row>
    <row r="91" spans="2:5" ht="13.5" thickBot="1">
      <c r="B91" s="143"/>
      <c r="C91" s="167">
        <f>SUM(C86:C90)</f>
        <v>273840.54</v>
      </c>
      <c r="D91" s="167">
        <f>SUM(D86:D90)</f>
        <v>316070.88</v>
      </c>
      <c r="E91" s="167">
        <f>SUM(E86:E90)</f>
        <v>42230.34</v>
      </c>
    </row>
    <row r="92" spans="2:5" ht="13.5" thickBot="1">
      <c r="B92" s="363" t="s">
        <v>660</v>
      </c>
      <c r="C92" s="364"/>
      <c r="D92" s="364"/>
      <c r="E92" s="365"/>
    </row>
    <row r="93" spans="2:5" ht="12.75">
      <c r="B93" s="140" t="s">
        <v>285</v>
      </c>
      <c r="C93" s="212">
        <v>237882.51</v>
      </c>
      <c r="D93" s="223">
        <v>244440.42</v>
      </c>
      <c r="E93" s="213">
        <f>D93-C93</f>
        <v>6557.9100000000035</v>
      </c>
    </row>
    <row r="94" spans="2:5" ht="12.75">
      <c r="B94" s="115" t="s">
        <v>637</v>
      </c>
      <c r="C94" s="18">
        <v>117040.14</v>
      </c>
      <c r="D94" s="18">
        <v>120882.85</v>
      </c>
      <c r="E94" s="214">
        <f>D94-C94</f>
        <v>3842.7100000000064</v>
      </c>
    </row>
    <row r="95" spans="2:5" ht="12.75">
      <c r="B95" s="115" t="s">
        <v>805</v>
      </c>
      <c r="C95" s="28">
        <v>19941.01</v>
      </c>
      <c r="D95" s="28">
        <v>21881.85</v>
      </c>
      <c r="E95" s="214">
        <f>D95-C95</f>
        <v>1940.8400000000001</v>
      </c>
    </row>
    <row r="96" spans="2:5" ht="12.75">
      <c r="B96" s="115" t="s">
        <v>633</v>
      </c>
      <c r="C96" s="28">
        <v>19332.09</v>
      </c>
      <c r="D96" s="28">
        <v>20798.25</v>
      </c>
      <c r="E96" s="214">
        <f>D96-C96</f>
        <v>1466.1599999999999</v>
      </c>
    </row>
    <row r="97" spans="2:5" ht="13.5" thickBot="1">
      <c r="B97" s="157" t="s">
        <v>113</v>
      </c>
      <c r="C97" s="263">
        <v>8000</v>
      </c>
      <c r="D97" s="263">
        <v>8000</v>
      </c>
      <c r="E97" s="216">
        <f>D97-C97</f>
        <v>0</v>
      </c>
    </row>
    <row r="98" spans="2:5" ht="13.5" thickBot="1">
      <c r="B98" s="302"/>
      <c r="C98" s="303">
        <f>SUM(C93:C97)</f>
        <v>402195.75000000006</v>
      </c>
      <c r="D98" s="303">
        <f>SUM(D93:D97)</f>
        <v>416003.37</v>
      </c>
      <c r="E98" s="303">
        <f>SUM(E93:E97)</f>
        <v>13807.62000000001</v>
      </c>
    </row>
    <row r="99" spans="2:5" ht="13.5" thickBot="1">
      <c r="B99" s="363" t="s">
        <v>419</v>
      </c>
      <c r="C99" s="364"/>
      <c r="D99" s="364"/>
      <c r="E99" s="365"/>
    </row>
    <row r="100" spans="2:5" ht="12.75">
      <c r="B100" s="140" t="s">
        <v>285</v>
      </c>
      <c r="C100" s="212">
        <v>262486.06</v>
      </c>
      <c r="D100" s="223">
        <v>258564</v>
      </c>
      <c r="E100" s="242">
        <f>D100-C100</f>
        <v>-3922.0599999999977</v>
      </c>
    </row>
    <row r="101" spans="2:5" ht="12.75">
      <c r="B101" s="115" t="s">
        <v>637</v>
      </c>
      <c r="C101" s="18">
        <v>141096.86</v>
      </c>
      <c r="D101" s="18">
        <v>125715.6</v>
      </c>
      <c r="E101" s="57">
        <f>D101-C101</f>
        <v>-15381.25999999998</v>
      </c>
    </row>
    <row r="102" spans="2:5" ht="12.75">
      <c r="B102" s="220" t="s">
        <v>633</v>
      </c>
      <c r="C102" s="112">
        <v>23485.8</v>
      </c>
      <c r="D102" s="112">
        <v>22690</v>
      </c>
      <c r="E102" s="128">
        <f>D102-C102</f>
        <v>-795.7999999999993</v>
      </c>
    </row>
    <row r="103" spans="2:5" ht="12.75">
      <c r="B103" s="220" t="s">
        <v>113</v>
      </c>
      <c r="C103" s="112">
        <v>8000</v>
      </c>
      <c r="D103" s="112">
        <v>8000</v>
      </c>
      <c r="E103" s="128">
        <f>D103-C103</f>
        <v>0</v>
      </c>
    </row>
    <row r="104" spans="2:5" ht="12.75">
      <c r="B104" s="115" t="s">
        <v>805</v>
      </c>
      <c r="C104" s="28">
        <v>25230.92</v>
      </c>
      <c r="D104" s="28">
        <v>23290.08</v>
      </c>
      <c r="E104" s="57">
        <f>D104-C104</f>
        <v>-1940.8399999999965</v>
      </c>
    </row>
    <row r="105" spans="2:5" ht="26.25" thickBot="1">
      <c r="B105" s="156" t="s">
        <v>119</v>
      </c>
      <c r="C105" s="224">
        <v>3200</v>
      </c>
      <c r="D105" s="224">
        <v>3200</v>
      </c>
      <c r="E105" s="219">
        <f>C105-D105</f>
        <v>0</v>
      </c>
    </row>
    <row r="106" spans="2:5" ht="13.5" thickBot="1">
      <c r="B106" s="187"/>
      <c r="C106" s="217">
        <f>SUM(C98:C105)</f>
        <v>865695.3900000001</v>
      </c>
      <c r="D106" s="217">
        <f>SUM(D98:D105)</f>
        <v>857463.0499999999</v>
      </c>
      <c r="E106" s="217">
        <f>SUM(E100:E105)</f>
        <v>-22039.959999999974</v>
      </c>
    </row>
    <row r="107" spans="2:5" ht="13.5" thickBot="1">
      <c r="B107" s="363" t="s">
        <v>381</v>
      </c>
      <c r="C107" s="364"/>
      <c r="D107" s="364"/>
      <c r="E107" s="365"/>
    </row>
    <row r="108" spans="2:5" ht="12.75">
      <c r="B108" s="140" t="s">
        <v>285</v>
      </c>
      <c r="C108" s="141">
        <v>363378.78</v>
      </c>
      <c r="D108" s="155">
        <v>356643.56</v>
      </c>
      <c r="E108" s="213">
        <f aca="true" t="shared" si="1" ref="E108:E115">D108-C108</f>
        <v>-6735.22000000003</v>
      </c>
    </row>
    <row r="109" spans="2:5" ht="12.75">
      <c r="B109" s="115" t="s">
        <v>637</v>
      </c>
      <c r="C109" s="5">
        <v>177030.6</v>
      </c>
      <c r="D109" s="33">
        <v>173492.94</v>
      </c>
      <c r="E109" s="214">
        <f t="shared" si="1"/>
        <v>-3537.6600000000035</v>
      </c>
    </row>
    <row r="110" spans="2:5" ht="12.75">
      <c r="B110" s="115" t="s">
        <v>633</v>
      </c>
      <c r="C110" s="65">
        <v>50112.64</v>
      </c>
      <c r="D110" s="70">
        <v>47310.09</v>
      </c>
      <c r="E110" s="214">
        <f t="shared" si="1"/>
        <v>-2802.550000000003</v>
      </c>
    </row>
    <row r="111" spans="2:5" ht="12.75">
      <c r="B111" s="116" t="s">
        <v>364</v>
      </c>
      <c r="C111" s="94">
        <v>5448.81</v>
      </c>
      <c r="D111" s="83">
        <v>12860.38</v>
      </c>
      <c r="E111" s="214">
        <f t="shared" si="1"/>
        <v>7411.569999999999</v>
      </c>
    </row>
    <row r="112" spans="2:5" ht="12.75">
      <c r="B112" s="116" t="s">
        <v>415</v>
      </c>
      <c r="C112" s="94">
        <v>0</v>
      </c>
      <c r="D112" s="83">
        <v>145</v>
      </c>
      <c r="E112" s="214">
        <f t="shared" si="1"/>
        <v>145</v>
      </c>
    </row>
    <row r="113" spans="2:5" ht="12.75">
      <c r="B113" s="278" t="s">
        <v>792</v>
      </c>
      <c r="C113" s="122">
        <v>6300</v>
      </c>
      <c r="D113" s="122">
        <v>6800</v>
      </c>
      <c r="E113" s="214">
        <f t="shared" si="1"/>
        <v>500</v>
      </c>
    </row>
    <row r="114" spans="2:5" ht="12.75">
      <c r="B114" s="115" t="s">
        <v>805</v>
      </c>
      <c r="C114" s="67">
        <v>29403.12</v>
      </c>
      <c r="D114" s="83">
        <v>29403.12</v>
      </c>
      <c r="E114" s="214">
        <f t="shared" si="1"/>
        <v>0</v>
      </c>
    </row>
    <row r="115" spans="2:5" ht="13.5" thickBot="1">
      <c r="B115" s="157" t="s">
        <v>1200</v>
      </c>
      <c r="C115" s="229">
        <v>14804.09</v>
      </c>
      <c r="D115" s="229">
        <v>14804.09</v>
      </c>
      <c r="E115" s="216">
        <f t="shared" si="1"/>
        <v>0</v>
      </c>
    </row>
    <row r="116" spans="2:5" ht="13.5" thickBot="1">
      <c r="B116" s="187"/>
      <c r="C116" s="217">
        <f>SUM(C108:C115)</f>
        <v>646478.04</v>
      </c>
      <c r="D116" s="217">
        <f>SUM(D108:D115)</f>
        <v>641459.1799999999</v>
      </c>
      <c r="E116" s="217">
        <f>SUM(E108:E115)</f>
        <v>-5018.860000000038</v>
      </c>
    </row>
    <row r="117" spans="2:5" ht="13.5" thickBot="1">
      <c r="B117" s="363" t="s">
        <v>87</v>
      </c>
      <c r="C117" s="364"/>
      <c r="D117" s="364"/>
      <c r="E117" s="365"/>
    </row>
    <row r="118" spans="2:5" ht="12.75">
      <c r="B118" s="140" t="s">
        <v>285</v>
      </c>
      <c r="C118" s="234">
        <v>276423.71</v>
      </c>
      <c r="D118" s="218">
        <v>304503.51</v>
      </c>
      <c r="E118" s="213">
        <f aca="true" t="shared" si="2" ref="E118:E124">D118-C118</f>
        <v>28079.79999999999</v>
      </c>
    </row>
    <row r="119" spans="2:5" ht="12.75">
      <c r="B119" s="115" t="s">
        <v>637</v>
      </c>
      <c r="C119" s="10">
        <v>136590.01</v>
      </c>
      <c r="D119" s="98">
        <v>150524.4</v>
      </c>
      <c r="E119" s="214">
        <f t="shared" si="2"/>
        <v>13934.389999999985</v>
      </c>
    </row>
    <row r="120" spans="2:5" ht="12.75">
      <c r="B120" s="115" t="s">
        <v>364</v>
      </c>
      <c r="C120" s="10">
        <v>86935.27</v>
      </c>
      <c r="D120" s="98">
        <v>84520.91</v>
      </c>
      <c r="E120" s="214">
        <f t="shared" si="2"/>
        <v>-2414.3600000000006</v>
      </c>
    </row>
    <row r="121" spans="2:5" ht="12.75">
      <c r="B121" s="115" t="s">
        <v>633</v>
      </c>
      <c r="C121" s="10">
        <v>37358.88</v>
      </c>
      <c r="D121" s="98">
        <v>44041.17</v>
      </c>
      <c r="E121" s="214">
        <f t="shared" si="2"/>
        <v>6682.290000000001</v>
      </c>
    </row>
    <row r="122" spans="2:5" ht="12.75">
      <c r="B122" s="115" t="s">
        <v>1061</v>
      </c>
      <c r="C122" s="10">
        <f>3500+2400+3600</f>
        <v>9500</v>
      </c>
      <c r="D122" s="98">
        <f>4200+2400+3300</f>
        <v>9900</v>
      </c>
      <c r="E122" s="288">
        <f t="shared" si="2"/>
        <v>400</v>
      </c>
    </row>
    <row r="123" spans="2:5" ht="12.75">
      <c r="B123" s="115" t="s">
        <v>805</v>
      </c>
      <c r="C123" s="67">
        <v>24992.85</v>
      </c>
      <c r="D123" s="83">
        <f>24992.85</f>
        <v>24992.85</v>
      </c>
      <c r="E123" s="214">
        <f t="shared" si="2"/>
        <v>0</v>
      </c>
    </row>
    <row r="124" spans="2:5" ht="13.5" thickBot="1">
      <c r="B124" s="362" t="s">
        <v>1088</v>
      </c>
      <c r="C124" s="225">
        <v>6520.89</v>
      </c>
      <c r="D124" s="227">
        <v>6520.89</v>
      </c>
      <c r="E124" s="216">
        <f t="shared" si="2"/>
        <v>0</v>
      </c>
    </row>
    <row r="125" spans="2:5" ht="13.5" thickBot="1">
      <c r="B125" s="187"/>
      <c r="C125" s="217">
        <f>SUM(C118:C124)</f>
        <v>578321.61</v>
      </c>
      <c r="D125" s="217">
        <f>SUM(D118:D124)</f>
        <v>625003.7300000001</v>
      </c>
      <c r="E125" s="217">
        <f>SUM(E118:E124)</f>
        <v>46682.11999999997</v>
      </c>
    </row>
    <row r="126" spans="2:5" ht="13.5" thickBot="1">
      <c r="B126" s="366" t="s">
        <v>379</v>
      </c>
      <c r="C126" s="367"/>
      <c r="D126" s="367"/>
      <c r="E126" s="368"/>
    </row>
    <row r="127" spans="2:5" ht="13.5" thickBot="1">
      <c r="B127" s="153"/>
      <c r="C127" s="175">
        <f>C116+C106+C98+C91+C125</f>
        <v>2766531.33</v>
      </c>
      <c r="D127" s="175">
        <f>D116+D106+D98+D91+D125</f>
        <v>2856000.21</v>
      </c>
      <c r="E127" s="175">
        <f>E116+E106+E98+E91+E125</f>
        <v>75661.25999999997</v>
      </c>
    </row>
  </sheetData>
  <sheetProtection/>
  <mergeCells count="23">
    <mergeCell ref="B99:E99"/>
    <mergeCell ref="D78:E78"/>
    <mergeCell ref="D79:E79"/>
    <mergeCell ref="D80:E80"/>
    <mergeCell ref="D81:E81"/>
    <mergeCell ref="B107:E107"/>
    <mergeCell ref="B126:E126"/>
    <mergeCell ref="B117:E117"/>
    <mergeCell ref="D82:E82"/>
    <mergeCell ref="B85:E85"/>
    <mergeCell ref="B92:E92"/>
    <mergeCell ref="A21:D21"/>
    <mergeCell ref="D25:E25"/>
    <mergeCell ref="D74:E74"/>
    <mergeCell ref="D75:E75"/>
    <mergeCell ref="D76:E76"/>
    <mergeCell ref="D77:E77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.75390625" style="0" customWidth="1"/>
    <col min="2" max="2" width="56.625" style="0" customWidth="1"/>
    <col min="3" max="3" width="10.625" style="0" customWidth="1"/>
    <col min="4" max="4" width="13.25390625" style="0" customWidth="1"/>
    <col min="5" max="5" width="12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1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282</v>
      </c>
      <c r="C7" s="26"/>
      <c r="D7" s="24"/>
    </row>
    <row r="8" spans="1:4" ht="15">
      <c r="A8" s="26"/>
      <c r="B8" s="27" t="s">
        <v>115</v>
      </c>
      <c r="C8" s="38">
        <v>2456.5</v>
      </c>
      <c r="D8" s="92" t="s">
        <v>116</v>
      </c>
    </row>
    <row r="9" spans="1:4" ht="15">
      <c r="A9" s="26"/>
      <c r="B9" s="27" t="s">
        <v>654</v>
      </c>
      <c r="C9" s="93">
        <v>70.6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f>279369.44+10.33</f>
        <v>279379.77</v>
      </c>
      <c r="D12" s="218">
        <f>304130.02+1.15</f>
        <v>304131.17000000004</v>
      </c>
      <c r="E12" s="242">
        <f aca="true" t="shared" si="0" ref="E12:E18">D12-C12</f>
        <v>24751.400000000023</v>
      </c>
    </row>
    <row r="13" spans="1:5" ht="12.75">
      <c r="A13" s="84">
        <v>2</v>
      </c>
      <c r="B13" s="5" t="s">
        <v>637</v>
      </c>
      <c r="C13" s="10">
        <v>136651.97</v>
      </c>
      <c r="D13" s="98">
        <v>149306.94</v>
      </c>
      <c r="E13" s="57">
        <f t="shared" si="0"/>
        <v>12654.970000000001</v>
      </c>
    </row>
    <row r="14" spans="1:5" ht="12.75">
      <c r="A14" s="84">
        <v>3</v>
      </c>
      <c r="B14" s="5" t="s">
        <v>364</v>
      </c>
      <c r="C14" s="10">
        <v>83060.23</v>
      </c>
      <c r="D14" s="98">
        <v>82839.44</v>
      </c>
      <c r="E14" s="57">
        <f t="shared" si="0"/>
        <v>-220.7899999999936</v>
      </c>
    </row>
    <row r="15" spans="1:5" ht="12.75">
      <c r="A15" s="84">
        <v>4</v>
      </c>
      <c r="B15" s="5" t="s">
        <v>633</v>
      </c>
      <c r="C15" s="10">
        <v>25288.22</v>
      </c>
      <c r="D15" s="98">
        <v>27787.09</v>
      </c>
      <c r="E15" s="57">
        <f t="shared" si="0"/>
        <v>2498.869999999999</v>
      </c>
    </row>
    <row r="16" spans="1:5" ht="12.75">
      <c r="A16" s="84">
        <v>5</v>
      </c>
      <c r="B16" s="5" t="s">
        <v>1061</v>
      </c>
      <c r="C16" s="10">
        <f>3500+2400+3600</f>
        <v>9500</v>
      </c>
      <c r="D16" s="98">
        <f>4200+2400+3300</f>
        <v>9900</v>
      </c>
      <c r="E16" s="57">
        <f t="shared" si="0"/>
        <v>400</v>
      </c>
    </row>
    <row r="17" spans="1:5" ht="12.75">
      <c r="A17" s="87">
        <v>6</v>
      </c>
      <c r="B17" s="5" t="s">
        <v>805</v>
      </c>
      <c r="C17" s="67">
        <f>7315.43+1021.48+7325.01</f>
        <v>15661.92</v>
      </c>
      <c r="D17" s="83">
        <f>7935.58+6248.02</f>
        <v>14183.6</v>
      </c>
      <c r="E17" s="57">
        <f t="shared" si="0"/>
        <v>-1478.3199999999997</v>
      </c>
    </row>
    <row r="18" spans="1:5" ht="13.5" thickBot="1">
      <c r="A18" s="261">
        <v>7</v>
      </c>
      <c r="B18" s="357" t="s">
        <v>1088</v>
      </c>
      <c r="C18" s="225">
        <v>11605.12</v>
      </c>
      <c r="D18" s="227">
        <v>11605.12</v>
      </c>
      <c r="E18" s="222">
        <f t="shared" si="0"/>
        <v>0</v>
      </c>
    </row>
    <row r="19" spans="1:5" ht="13.5" thickBot="1">
      <c r="A19" s="250"/>
      <c r="B19" s="251"/>
      <c r="C19" s="118">
        <f>SUM(C12:C18)</f>
        <v>561147.23</v>
      </c>
      <c r="D19" s="118">
        <f>SUM(D12:D18)</f>
        <v>599753.36</v>
      </c>
      <c r="E19" s="137">
        <f>SUM(E12:E18)</f>
        <v>38606.13000000003</v>
      </c>
    </row>
    <row r="20" spans="1:5" ht="12.75">
      <c r="A20" s="385" t="s">
        <v>793</v>
      </c>
      <c r="B20" s="386"/>
      <c r="C20" s="386"/>
      <c r="D20" s="386"/>
      <c r="E20" s="108">
        <f>E124</f>
        <v>86993.18000000001</v>
      </c>
    </row>
    <row r="21" spans="1:5" ht="12.75">
      <c r="A21" s="387" t="s">
        <v>794</v>
      </c>
      <c r="B21" s="384"/>
      <c r="C21" s="384"/>
      <c r="D21" s="384"/>
      <c r="E21" s="22">
        <v>101021.95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446</v>
      </c>
      <c r="C24" s="80">
        <f>C63</f>
        <v>222480.86</v>
      </c>
      <c r="E24" s="29"/>
    </row>
    <row r="25" spans="1:5" ht="12.75">
      <c r="A25" s="91">
        <v>2</v>
      </c>
      <c r="B25" s="25" t="s">
        <v>344</v>
      </c>
      <c r="C25" s="102">
        <f>C69</f>
        <v>11151.81</v>
      </c>
      <c r="D25" s="388"/>
      <c r="E25" s="389"/>
    </row>
    <row r="26" spans="1:5" ht="12.75">
      <c r="A26" s="84">
        <v>3</v>
      </c>
      <c r="B26" s="9" t="s">
        <v>649</v>
      </c>
      <c r="C26" s="48">
        <v>4294.83</v>
      </c>
      <c r="E26" s="29"/>
    </row>
    <row r="27" spans="1:5" ht="12.75">
      <c r="A27" s="84">
        <v>4</v>
      </c>
      <c r="B27" s="9" t="s">
        <v>122</v>
      </c>
      <c r="C27" s="48">
        <f>(C8*0.55*12)</f>
        <v>16212.900000000001</v>
      </c>
      <c r="E27" s="29"/>
    </row>
    <row r="28" spans="1:5" ht="12.75">
      <c r="A28" s="84">
        <v>5</v>
      </c>
      <c r="B28" s="9" t="s">
        <v>658</v>
      </c>
      <c r="C28" s="79">
        <v>37890.84</v>
      </c>
      <c r="E28" s="29"/>
    </row>
    <row r="29" spans="1:5" ht="12.75">
      <c r="A29" s="91">
        <v>6</v>
      </c>
      <c r="B29" s="25" t="s">
        <v>61</v>
      </c>
      <c r="C29" s="96">
        <v>2400</v>
      </c>
      <c r="E29" s="29"/>
    </row>
    <row r="30" spans="1:5" ht="12.75">
      <c r="A30" s="91">
        <v>7</v>
      </c>
      <c r="B30" s="25" t="s">
        <v>705</v>
      </c>
      <c r="C30" s="96"/>
      <c r="E30" s="29"/>
    </row>
    <row r="31" spans="1:5" ht="12.75">
      <c r="A31" s="91">
        <v>8</v>
      </c>
      <c r="B31" s="346" t="s">
        <v>26</v>
      </c>
      <c r="C31" s="96">
        <v>600</v>
      </c>
      <c r="E31" s="29"/>
    </row>
    <row r="32" spans="1:5" ht="25.5">
      <c r="A32" s="91">
        <v>9</v>
      </c>
      <c r="B32" s="25" t="s">
        <v>60</v>
      </c>
      <c r="C32" s="96">
        <v>10700</v>
      </c>
      <c r="E32" s="29"/>
    </row>
    <row r="33" spans="1:5" ht="25.5">
      <c r="A33" s="91">
        <v>10</v>
      </c>
      <c r="B33" s="25" t="s">
        <v>327</v>
      </c>
      <c r="C33" s="96">
        <v>4151.31</v>
      </c>
      <c r="E33" s="29"/>
    </row>
    <row r="34" spans="1:5" ht="12.75">
      <c r="A34" s="91">
        <v>11</v>
      </c>
      <c r="B34" s="25" t="s">
        <v>1175</v>
      </c>
      <c r="C34" s="349">
        <v>4735.09</v>
      </c>
      <c r="E34" s="29"/>
    </row>
    <row r="35" spans="1:5" ht="12.75">
      <c r="A35" s="91">
        <v>12</v>
      </c>
      <c r="B35" s="25" t="s">
        <v>363</v>
      </c>
      <c r="C35" s="79">
        <v>141.2</v>
      </c>
      <c r="E35" s="29"/>
    </row>
    <row r="36" spans="1:3" ht="12.75">
      <c r="A36" s="50"/>
      <c r="B36" s="20" t="s">
        <v>629</v>
      </c>
      <c r="C36" s="51">
        <f>SUM(C24:C35)</f>
        <v>314758.84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(C19)*15%</f>
        <v>84172.0845</v>
      </c>
    </row>
    <row r="39" spans="1:3" ht="12.75">
      <c r="A39" s="84">
        <v>2</v>
      </c>
      <c r="B39" s="9" t="s">
        <v>813</v>
      </c>
      <c r="C39" s="48">
        <f>C75</f>
        <v>5320.424783540003</v>
      </c>
    </row>
    <row r="40" spans="1:3" ht="12.75">
      <c r="A40" s="84">
        <v>3</v>
      </c>
      <c r="B40" s="9" t="s">
        <v>653</v>
      </c>
      <c r="C40" s="48">
        <f>C76</f>
        <v>5778.769662719467</v>
      </c>
    </row>
    <row r="41" spans="1:3" ht="12.75">
      <c r="A41" s="84">
        <v>4</v>
      </c>
      <c r="B41" s="9" t="s">
        <v>1114</v>
      </c>
      <c r="C41" s="52">
        <f>C77</f>
        <v>11731.133464218463</v>
      </c>
    </row>
    <row r="42" spans="1:3" ht="12.75">
      <c r="A42" s="84">
        <v>5</v>
      </c>
      <c r="B42" s="9" t="s">
        <v>162</v>
      </c>
      <c r="C42" s="52">
        <f>C78</f>
        <v>8818.137285555695</v>
      </c>
    </row>
    <row r="43" spans="1:3" ht="12.75">
      <c r="A43" s="84">
        <v>6</v>
      </c>
      <c r="B43" s="9" t="s">
        <v>1051</v>
      </c>
      <c r="C43" s="48">
        <f>C79+C81+C82+C83+C80</f>
        <v>14964.341694208693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130784.89139024232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C19*2%</f>
        <v>11222.9446</v>
      </c>
    </row>
    <row r="51" spans="1:3" ht="12.75">
      <c r="A51" s="84">
        <v>2</v>
      </c>
      <c r="B51" s="9" t="s">
        <v>391</v>
      </c>
      <c r="C51" s="48">
        <f>C52</f>
        <v>32995.45712399999</v>
      </c>
    </row>
    <row r="52" spans="1:4" ht="12.75">
      <c r="A52" s="49"/>
      <c r="B52" s="5" t="s">
        <v>334</v>
      </c>
      <c r="C52" s="41">
        <f>(C19-C50)*6%</f>
        <v>32995.45712399999</v>
      </c>
      <c r="D52" s="19"/>
    </row>
    <row r="53" spans="1:3" ht="13.5" thickBot="1">
      <c r="A53" s="54"/>
      <c r="B53" s="55" t="s">
        <v>967</v>
      </c>
      <c r="C53" s="56">
        <f>C50+C51</f>
        <v>44218.401723999996</v>
      </c>
    </row>
    <row r="54" spans="1:3" ht="12.75">
      <c r="A54" s="23"/>
      <c r="B54" s="4" t="s">
        <v>288</v>
      </c>
      <c r="C54" s="11">
        <f>C36+C48+C53</f>
        <v>489762.13311424234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1">
        <v>477643.1</v>
      </c>
    </row>
    <row r="57" spans="1:3" ht="15">
      <c r="A57" s="23"/>
      <c r="B57" s="14" t="s">
        <v>180</v>
      </c>
      <c r="C57" s="11">
        <f>C54+C56-C19</f>
        <v>406258.00311424234</v>
      </c>
    </row>
    <row r="58" ht="12.75">
      <c r="B58" s="1" t="s">
        <v>85</v>
      </c>
    </row>
    <row r="59" ht="18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720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2527.1</v>
      </c>
      <c r="E62" t="s">
        <v>116</v>
      </c>
    </row>
    <row r="63" spans="1:5" ht="12.75">
      <c r="A63" s="60" t="s">
        <v>218</v>
      </c>
      <c r="B63" s="39" t="s">
        <v>832</v>
      </c>
      <c r="C63" s="47">
        <v>222480.86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8674.35</v>
      </c>
      <c r="D65" s="15"/>
      <c r="E65" s="15"/>
    </row>
    <row r="66" spans="1:5" ht="12.75">
      <c r="A66" s="62" t="s">
        <v>166</v>
      </c>
      <c r="B66" s="6" t="s">
        <v>371</v>
      </c>
      <c r="C66" s="41">
        <v>21793.8</v>
      </c>
      <c r="D66" s="15"/>
      <c r="E66" s="15"/>
    </row>
    <row r="67" spans="1:5" ht="12.75">
      <c r="A67" s="62" t="s">
        <v>166</v>
      </c>
      <c r="B67" s="6" t="s">
        <v>315</v>
      </c>
      <c r="C67" s="41">
        <v>5687</v>
      </c>
      <c r="D67" s="15"/>
      <c r="E67" s="15"/>
    </row>
    <row r="68" spans="1:5" ht="13.5" thickBot="1">
      <c r="A68" s="63" t="s">
        <v>166</v>
      </c>
      <c r="B68" s="42" t="s">
        <v>818</v>
      </c>
      <c r="C68" s="46">
        <v>6059.9</v>
      </c>
      <c r="D68" s="15"/>
      <c r="E68" s="15"/>
    </row>
    <row r="69" spans="1:5" ht="12.75">
      <c r="A69" s="60" t="s">
        <v>328</v>
      </c>
      <c r="B69" s="39" t="s">
        <v>343</v>
      </c>
      <c r="C69" s="47">
        <v>11151.81</v>
      </c>
      <c r="D69" s="15"/>
      <c r="E69" s="12"/>
    </row>
    <row r="70" spans="1:5" ht="12.75">
      <c r="A70" s="61"/>
      <c r="B70" s="6" t="s">
        <v>118</v>
      </c>
      <c r="C70" s="41"/>
      <c r="D70" s="15"/>
      <c r="E70" s="12"/>
    </row>
    <row r="71" spans="1:5" ht="12.75">
      <c r="A71" s="62" t="s">
        <v>166</v>
      </c>
      <c r="B71" s="6" t="s">
        <v>380</v>
      </c>
      <c r="C71" s="41">
        <v>1390</v>
      </c>
      <c r="D71" s="15"/>
      <c r="E71" s="12"/>
    </row>
    <row r="72" spans="1:5" ht="13.5" thickBot="1">
      <c r="A72" s="63" t="s">
        <v>166</v>
      </c>
      <c r="B72" s="42" t="s">
        <v>818</v>
      </c>
      <c r="C72" s="46">
        <v>140.46</v>
      </c>
      <c r="D72" s="15"/>
      <c r="E72" s="15"/>
    </row>
    <row r="73" spans="1:5" ht="12.75">
      <c r="A73" s="300" t="s">
        <v>787</v>
      </c>
      <c r="B73" s="97" t="s">
        <v>1050</v>
      </c>
      <c r="C73" s="82">
        <f>C74+C75+C77+C76+C78+C79+C81+C82+C83+C80</f>
        <v>130784.89139024232</v>
      </c>
      <c r="D73" s="15"/>
      <c r="E73" s="12"/>
    </row>
    <row r="74" spans="1:5" ht="13.5" thickBot="1">
      <c r="A74" s="40" t="s">
        <v>166</v>
      </c>
      <c r="B74" s="6" t="s">
        <v>227</v>
      </c>
      <c r="C74" s="41">
        <f>C38</f>
        <v>84172.0845</v>
      </c>
      <c r="D74" s="15"/>
      <c r="E74" s="12"/>
    </row>
    <row r="75" spans="1:5" ht="12.75">
      <c r="A75" s="40" t="s">
        <v>166</v>
      </c>
      <c r="B75" s="6" t="s">
        <v>370</v>
      </c>
      <c r="C75" s="317">
        <f>401410.25/185335.63*C8</f>
        <v>5320.424783540003</v>
      </c>
      <c r="D75" s="375" t="s">
        <v>721</v>
      </c>
      <c r="E75" s="376"/>
    </row>
    <row r="76" spans="1:5" ht="12.75">
      <c r="A76" s="73" t="s">
        <v>166</v>
      </c>
      <c r="B76" s="74" t="s">
        <v>397</v>
      </c>
      <c r="C76" s="317">
        <f>435991.01/185335.63*C8</f>
        <v>5778.769662719467</v>
      </c>
      <c r="D76" s="377" t="s">
        <v>722</v>
      </c>
      <c r="E76" s="378"/>
    </row>
    <row r="77" spans="1:5" ht="12.75">
      <c r="A77" s="71" t="s">
        <v>166</v>
      </c>
      <c r="B77" s="72" t="s">
        <v>416</v>
      </c>
      <c r="C77" s="317">
        <f>1082167/226605.83*C8</f>
        <v>11731.133464218463</v>
      </c>
      <c r="D77" s="379" t="s">
        <v>723</v>
      </c>
      <c r="E77" s="380"/>
    </row>
    <row r="78" spans="1:5" ht="25.5">
      <c r="A78" s="73" t="s">
        <v>166</v>
      </c>
      <c r="B78" s="72" t="s">
        <v>231</v>
      </c>
      <c r="C78" s="318">
        <f>845684.35/242356.05*D62</f>
        <v>8818.137285555695</v>
      </c>
      <c r="D78" s="381" t="s">
        <v>724</v>
      </c>
      <c r="E78" s="382"/>
    </row>
    <row r="79" spans="1:5" ht="12.75">
      <c r="A79" s="73" t="s">
        <v>166</v>
      </c>
      <c r="B79" s="74" t="s">
        <v>808</v>
      </c>
      <c r="C79" s="318">
        <f>642562.44/242356.05*D62</f>
        <v>6700.140318857317</v>
      </c>
      <c r="D79" s="371" t="s">
        <v>725</v>
      </c>
      <c r="E79" s="372"/>
    </row>
    <row r="80" spans="1:5" ht="12.75">
      <c r="A80" s="73" t="s">
        <v>166</v>
      </c>
      <c r="B80" s="74" t="s">
        <v>826</v>
      </c>
      <c r="C80" s="318">
        <f>51615/196822.43*D62</f>
        <v>662.7103755400236</v>
      </c>
      <c r="D80" s="371" t="s">
        <v>311</v>
      </c>
      <c r="E80" s="372"/>
    </row>
    <row r="81" spans="1:5" ht="12.75">
      <c r="A81" s="73" t="s">
        <v>166</v>
      </c>
      <c r="B81" s="74" t="s">
        <v>655</v>
      </c>
      <c r="C81" s="318">
        <f>129011.28/196822.43*D62</f>
        <v>1656.4392873718712</v>
      </c>
      <c r="D81" s="371" t="s">
        <v>312</v>
      </c>
      <c r="E81" s="372"/>
    </row>
    <row r="82" spans="1:5" ht="12.75">
      <c r="A82" s="73" t="s">
        <v>166</v>
      </c>
      <c r="B82" s="74" t="s">
        <v>656</v>
      </c>
      <c r="C82" s="318">
        <f>164128/196822.43*D62</f>
        <v>2107.3201301294775</v>
      </c>
      <c r="D82" s="373" t="s">
        <v>313</v>
      </c>
      <c r="E82" s="374"/>
    </row>
    <row r="83" spans="1:5" ht="13.5" thickBot="1">
      <c r="A83" s="75" t="s">
        <v>166</v>
      </c>
      <c r="B83" s="76" t="s">
        <v>809</v>
      </c>
      <c r="C83" s="319">
        <f>298900.58/196822.43*D62</f>
        <v>3837.731582310004</v>
      </c>
      <c r="D83" s="369" t="s">
        <v>314</v>
      </c>
      <c r="E83" s="370"/>
    </row>
    <row r="84" ht="13.5" thickBot="1"/>
    <row r="85" spans="2:5" ht="24.75" thickBot="1">
      <c r="B85" s="143"/>
      <c r="C85" s="159" t="s">
        <v>104</v>
      </c>
      <c r="D85" s="161" t="s">
        <v>306</v>
      </c>
      <c r="E85" s="160" t="s">
        <v>1115</v>
      </c>
    </row>
    <row r="86" spans="2:5" ht="13.5" thickBot="1">
      <c r="B86" s="363" t="s">
        <v>659</v>
      </c>
      <c r="C86" s="364"/>
      <c r="D86" s="364"/>
      <c r="E86" s="365"/>
    </row>
    <row r="87" spans="2:5" ht="12.75">
      <c r="B87" s="140" t="s">
        <v>285</v>
      </c>
      <c r="C87" s="212">
        <v>164840.01</v>
      </c>
      <c r="D87" s="212">
        <v>183345.7</v>
      </c>
      <c r="E87" s="213">
        <f>D87-C87</f>
        <v>18505.690000000002</v>
      </c>
    </row>
    <row r="88" spans="2:5" ht="12.75">
      <c r="B88" s="115" t="s">
        <v>637</v>
      </c>
      <c r="C88" s="18">
        <v>92761.69</v>
      </c>
      <c r="D88" s="18">
        <v>102579.26</v>
      </c>
      <c r="E88" s="214">
        <f>D88-C88</f>
        <v>9817.569999999992</v>
      </c>
    </row>
    <row r="89" spans="2:5" ht="13.5" thickBot="1">
      <c r="B89" s="116" t="s">
        <v>805</v>
      </c>
      <c r="C89" s="103">
        <v>3725.68</v>
      </c>
      <c r="D89" s="103">
        <v>6951.26</v>
      </c>
      <c r="E89" s="221">
        <f>D89-C89</f>
        <v>3225.5800000000004</v>
      </c>
    </row>
    <row r="90" spans="2:5" ht="13.5" thickBot="1">
      <c r="B90" s="143"/>
      <c r="C90" s="167">
        <f>SUM(C87:C89)</f>
        <v>261327.38</v>
      </c>
      <c r="D90" s="167">
        <f>SUM(D87:D89)</f>
        <v>292876.22000000003</v>
      </c>
      <c r="E90" s="167">
        <f>SUM(E87:E89)</f>
        <v>31548.839999999997</v>
      </c>
    </row>
    <row r="91" spans="2:5" ht="13.5" thickBot="1">
      <c r="B91" s="363" t="s">
        <v>660</v>
      </c>
      <c r="C91" s="364"/>
      <c r="D91" s="364"/>
      <c r="E91" s="365"/>
    </row>
    <row r="92" spans="2:5" ht="12.75">
      <c r="B92" s="140" t="s">
        <v>285</v>
      </c>
      <c r="C92" s="141">
        <v>229576.34</v>
      </c>
      <c r="D92" s="155">
        <v>242446.68</v>
      </c>
      <c r="E92" s="213">
        <f>D92-C92</f>
        <v>12870.339999999997</v>
      </c>
    </row>
    <row r="93" spans="2:5" ht="12.75">
      <c r="B93" s="115" t="s">
        <v>637</v>
      </c>
      <c r="C93" s="5">
        <v>114139.01</v>
      </c>
      <c r="D93" s="33">
        <v>119896.88</v>
      </c>
      <c r="E93" s="214">
        <f>D93-C93</f>
        <v>5757.87000000001</v>
      </c>
    </row>
    <row r="94" spans="2:5" ht="13.5" thickBot="1">
      <c r="B94" s="157" t="s">
        <v>805</v>
      </c>
      <c r="C94" s="225">
        <v>18030.26</v>
      </c>
      <c r="D94" s="226">
        <v>18918</v>
      </c>
      <c r="E94" s="216">
        <f>D94-C94</f>
        <v>887.7400000000016</v>
      </c>
    </row>
    <row r="95" spans="2:5" ht="13.5" thickBot="1">
      <c r="B95" s="187"/>
      <c r="C95" s="217">
        <f>SUM(C92:C94)</f>
        <v>361745.61</v>
      </c>
      <c r="D95" s="217">
        <f>SUM(D92:D94)</f>
        <v>381261.56</v>
      </c>
      <c r="E95" s="217">
        <f>SUM(E92:E94)</f>
        <v>19515.950000000008</v>
      </c>
    </row>
    <row r="96" spans="2:5" ht="13.5" thickBot="1">
      <c r="B96" s="363" t="s">
        <v>419</v>
      </c>
      <c r="C96" s="364"/>
      <c r="D96" s="364"/>
      <c r="E96" s="365"/>
    </row>
    <row r="97" spans="2:5" ht="12.75">
      <c r="B97" s="140" t="s">
        <v>285</v>
      </c>
      <c r="C97" s="141">
        <v>246963.26</v>
      </c>
      <c r="D97" s="155">
        <v>256448.16</v>
      </c>
      <c r="E97" s="213">
        <f aca="true" t="shared" si="1" ref="E97:E102">D97-C97</f>
        <v>9484.899999999994</v>
      </c>
    </row>
    <row r="98" spans="2:5" ht="12.75">
      <c r="B98" s="115" t="s">
        <v>637</v>
      </c>
      <c r="C98" s="5">
        <v>120274.11</v>
      </c>
      <c r="D98" s="33">
        <v>124686.86</v>
      </c>
      <c r="E98" s="214">
        <f t="shared" si="1"/>
        <v>4412.75</v>
      </c>
    </row>
    <row r="99" spans="2:5" ht="12.75">
      <c r="B99" s="278" t="s">
        <v>633</v>
      </c>
      <c r="C99" s="122">
        <v>13235.68</v>
      </c>
      <c r="D99" s="122">
        <v>16747.8</v>
      </c>
      <c r="E99" s="214">
        <f t="shared" si="1"/>
        <v>3512.119999999999</v>
      </c>
    </row>
    <row r="100" spans="2:5" ht="12.75">
      <c r="B100" s="278" t="s">
        <v>372</v>
      </c>
      <c r="C100" s="122">
        <v>10000</v>
      </c>
      <c r="D100" s="122">
        <v>10000</v>
      </c>
      <c r="E100" s="214">
        <f t="shared" si="1"/>
        <v>0</v>
      </c>
    </row>
    <row r="101" spans="2:5" ht="12.75">
      <c r="B101" s="115" t="s">
        <v>805</v>
      </c>
      <c r="C101" s="67">
        <v>1400</v>
      </c>
      <c r="D101" s="83">
        <v>3140.7</v>
      </c>
      <c r="E101" s="214">
        <f t="shared" si="1"/>
        <v>1740.6999999999998</v>
      </c>
    </row>
    <row r="102" spans="2:5" ht="26.25" thickBot="1">
      <c r="B102" s="156" t="s">
        <v>119</v>
      </c>
      <c r="C102" s="229">
        <v>3200</v>
      </c>
      <c r="D102" s="229">
        <v>3200</v>
      </c>
      <c r="E102" s="228">
        <f t="shared" si="1"/>
        <v>0</v>
      </c>
    </row>
    <row r="103" spans="2:5" ht="13.5" thickBot="1">
      <c r="B103" s="187"/>
      <c r="C103" s="217">
        <f>SUM(C95:C102)</f>
        <v>756818.66</v>
      </c>
      <c r="D103" s="217">
        <f>SUM(D95:D102)</f>
        <v>795485.08</v>
      </c>
      <c r="E103" s="217">
        <f>SUM(E97:E102)</f>
        <v>19150.469999999994</v>
      </c>
    </row>
    <row r="104" spans="2:5" ht="13.5" thickBot="1">
      <c r="B104" s="363" t="s">
        <v>381</v>
      </c>
      <c r="C104" s="364"/>
      <c r="D104" s="364"/>
      <c r="E104" s="365"/>
    </row>
    <row r="105" spans="2:5" ht="12.75">
      <c r="B105" s="140" t="s">
        <v>285</v>
      </c>
      <c r="C105" s="141">
        <v>368125.63</v>
      </c>
      <c r="D105" s="155">
        <v>352345.3</v>
      </c>
      <c r="E105" s="213">
        <f aca="true" t="shared" si="2" ref="E105:E112">D105-C105</f>
        <v>-15780.330000000016</v>
      </c>
    </row>
    <row r="106" spans="2:5" ht="12.75">
      <c r="B106" s="115" t="s">
        <v>637</v>
      </c>
      <c r="C106" s="5">
        <v>179889.25</v>
      </c>
      <c r="D106" s="33">
        <v>172078.05</v>
      </c>
      <c r="E106" s="214">
        <f t="shared" si="2"/>
        <v>-7811.200000000012</v>
      </c>
    </row>
    <row r="107" spans="2:5" ht="12.75">
      <c r="B107" s="115" t="s">
        <v>633</v>
      </c>
      <c r="C107" s="65">
        <v>32796.79</v>
      </c>
      <c r="D107" s="70">
        <v>31224.6</v>
      </c>
      <c r="E107" s="214">
        <f t="shared" si="2"/>
        <v>-1572.1900000000023</v>
      </c>
    </row>
    <row r="108" spans="2:5" ht="12.75">
      <c r="B108" s="116" t="s">
        <v>364</v>
      </c>
      <c r="C108" s="94">
        <v>7548.09</v>
      </c>
      <c r="D108" s="83">
        <v>12753.42</v>
      </c>
      <c r="E108" s="214">
        <f t="shared" si="2"/>
        <v>5205.33</v>
      </c>
    </row>
    <row r="109" spans="2:5" ht="12.75">
      <c r="B109" s="116" t="s">
        <v>415</v>
      </c>
      <c r="C109" s="94">
        <v>3880.49</v>
      </c>
      <c r="D109" s="83">
        <v>1640.04</v>
      </c>
      <c r="E109" s="214">
        <f t="shared" si="2"/>
        <v>-2240.45</v>
      </c>
    </row>
    <row r="110" spans="2:5" ht="12.75">
      <c r="B110" s="278" t="s">
        <v>792</v>
      </c>
      <c r="C110" s="122">
        <v>6300</v>
      </c>
      <c r="D110" s="122">
        <v>6800</v>
      </c>
      <c r="E110" s="214">
        <f t="shared" si="2"/>
        <v>500</v>
      </c>
    </row>
    <row r="111" spans="2:5" ht="12.75">
      <c r="B111" s="115" t="s">
        <v>805</v>
      </c>
      <c r="C111" s="67">
        <v>7865.16</v>
      </c>
      <c r="D111" s="83">
        <v>7735.79</v>
      </c>
      <c r="E111" s="214">
        <f t="shared" si="2"/>
        <v>-129.3699999999999</v>
      </c>
    </row>
    <row r="112" spans="2:5" ht="13.5" thickBot="1">
      <c r="B112" s="157" t="s">
        <v>1200</v>
      </c>
      <c r="C112" s="229">
        <v>5594.75</v>
      </c>
      <c r="D112" s="229">
        <v>5594.75</v>
      </c>
      <c r="E112" s="216">
        <f t="shared" si="2"/>
        <v>0</v>
      </c>
    </row>
    <row r="113" spans="2:5" ht="13.5" thickBot="1">
      <c r="B113" s="187"/>
      <c r="C113" s="217">
        <f>SUM(C105:C112)</f>
        <v>612000.16</v>
      </c>
      <c r="D113" s="217">
        <f>SUM(D105:D112)</f>
        <v>590171.9500000001</v>
      </c>
      <c r="E113" s="217">
        <f>SUM(E105:E112)</f>
        <v>-21828.21000000003</v>
      </c>
    </row>
    <row r="114" spans="2:5" ht="13.5" thickBot="1">
      <c r="B114" s="363" t="s">
        <v>87</v>
      </c>
      <c r="C114" s="364"/>
      <c r="D114" s="364"/>
      <c r="E114" s="365"/>
    </row>
    <row r="115" spans="2:5" ht="12.75">
      <c r="B115" s="140" t="s">
        <v>285</v>
      </c>
      <c r="C115" s="234">
        <f>279369.44+10.33</f>
        <v>279379.77</v>
      </c>
      <c r="D115" s="218">
        <f>304130.02+1.15</f>
        <v>304131.17000000004</v>
      </c>
      <c r="E115" s="213">
        <f aca="true" t="shared" si="3" ref="E115:E121">D115-C115</f>
        <v>24751.400000000023</v>
      </c>
    </row>
    <row r="116" spans="2:5" ht="12.75">
      <c r="B116" s="115" t="s">
        <v>637</v>
      </c>
      <c r="C116" s="10">
        <v>136651.97</v>
      </c>
      <c r="D116" s="98">
        <v>149306.94</v>
      </c>
      <c r="E116" s="214">
        <f t="shared" si="3"/>
        <v>12654.970000000001</v>
      </c>
    </row>
    <row r="117" spans="2:5" ht="12.75">
      <c r="B117" s="115" t="s">
        <v>364</v>
      </c>
      <c r="C117" s="10">
        <v>83060.23</v>
      </c>
      <c r="D117" s="98">
        <v>82839.44</v>
      </c>
      <c r="E117" s="214">
        <f t="shared" si="3"/>
        <v>-220.7899999999936</v>
      </c>
    </row>
    <row r="118" spans="2:5" ht="12.75">
      <c r="B118" s="115" t="s">
        <v>633</v>
      </c>
      <c r="C118" s="10">
        <v>25288.22</v>
      </c>
      <c r="D118" s="98">
        <v>27787.09</v>
      </c>
      <c r="E118" s="214">
        <f t="shared" si="3"/>
        <v>2498.869999999999</v>
      </c>
    </row>
    <row r="119" spans="2:5" ht="12.75">
      <c r="B119" s="115" t="s">
        <v>1061</v>
      </c>
      <c r="C119" s="10">
        <f>3500+2400+3600</f>
        <v>9500</v>
      </c>
      <c r="D119" s="98">
        <f>4200+2400+3300</f>
        <v>9900</v>
      </c>
      <c r="E119" s="288">
        <f t="shared" si="3"/>
        <v>400</v>
      </c>
    </row>
    <row r="120" spans="2:5" ht="12.75">
      <c r="B120" s="115" t="s">
        <v>805</v>
      </c>
      <c r="C120" s="67">
        <f>7315.43+1021.48+7325.01</f>
        <v>15661.92</v>
      </c>
      <c r="D120" s="83">
        <f>7935.58+6248.02</f>
        <v>14183.6</v>
      </c>
      <c r="E120" s="214">
        <f t="shared" si="3"/>
        <v>-1478.3199999999997</v>
      </c>
    </row>
    <row r="121" spans="2:5" ht="13.5" thickBot="1">
      <c r="B121" s="362" t="s">
        <v>1088</v>
      </c>
      <c r="C121" s="225">
        <v>11605.12</v>
      </c>
      <c r="D121" s="227">
        <v>11605.12</v>
      </c>
      <c r="E121" s="216">
        <f t="shared" si="3"/>
        <v>0</v>
      </c>
    </row>
    <row r="122" spans="2:5" ht="13.5" thickBot="1">
      <c r="B122" s="187"/>
      <c r="C122" s="217">
        <f>SUM(C115:C121)</f>
        <v>561147.23</v>
      </c>
      <c r="D122" s="217">
        <f>SUM(D115:D121)</f>
        <v>599753.36</v>
      </c>
      <c r="E122" s="217">
        <f>SUM(E115:E121)</f>
        <v>38606.13000000003</v>
      </c>
    </row>
    <row r="123" spans="2:5" ht="13.5" thickBot="1">
      <c r="B123" s="366" t="s">
        <v>379</v>
      </c>
      <c r="C123" s="367"/>
      <c r="D123" s="367"/>
      <c r="E123" s="368"/>
    </row>
    <row r="124" spans="2:5" ht="13.5" thickBot="1">
      <c r="B124" s="153"/>
      <c r="C124" s="175">
        <f>C90+C95+C103+C113+C122</f>
        <v>2553039.04</v>
      </c>
      <c r="D124" s="175">
        <f>D90+D95+D103+D113+D122</f>
        <v>2659548.17</v>
      </c>
      <c r="E124" s="175">
        <f>E90+E95+E103+E113+E122</f>
        <v>86993.18000000001</v>
      </c>
    </row>
  </sheetData>
  <sheetProtection/>
  <mergeCells count="23">
    <mergeCell ref="B96:E96"/>
    <mergeCell ref="D79:E79"/>
    <mergeCell ref="D80:E80"/>
    <mergeCell ref="D81:E81"/>
    <mergeCell ref="D82:E82"/>
    <mergeCell ref="B104:E104"/>
    <mergeCell ref="B123:E123"/>
    <mergeCell ref="B114:E114"/>
    <mergeCell ref="D83:E83"/>
    <mergeCell ref="B86:E86"/>
    <mergeCell ref="B91:E91"/>
    <mergeCell ref="A21:D21"/>
    <mergeCell ref="D25:E25"/>
    <mergeCell ref="D75:E75"/>
    <mergeCell ref="D76:E76"/>
    <mergeCell ref="D77:E77"/>
    <mergeCell ref="D78:E78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56.625" style="0" customWidth="1"/>
    <col min="3" max="3" width="10.75390625" style="0" customWidth="1"/>
    <col min="4" max="5" width="13.00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9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1055</v>
      </c>
      <c r="C7" s="26"/>
      <c r="D7" s="24"/>
    </row>
    <row r="8" spans="1:4" ht="15">
      <c r="A8" s="26"/>
      <c r="B8" s="27" t="s">
        <v>115</v>
      </c>
      <c r="C8" s="38">
        <v>1500.7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152899.95</v>
      </c>
      <c r="D11" s="218">
        <v>181110.15</v>
      </c>
      <c r="E11" s="242">
        <f aca="true" t="shared" si="0" ref="E11:E16">D11-C11</f>
        <v>28210.199999999983</v>
      </c>
    </row>
    <row r="12" spans="1:5" ht="12.75">
      <c r="A12" s="84">
        <v>2</v>
      </c>
      <c r="B12" s="5" t="s">
        <v>637</v>
      </c>
      <c r="C12" s="10">
        <v>76413.92</v>
      </c>
      <c r="D12" s="98">
        <v>91213.26</v>
      </c>
      <c r="E12" s="57">
        <f t="shared" si="0"/>
        <v>14799.339999999997</v>
      </c>
    </row>
    <row r="13" spans="1:5" ht="12.75">
      <c r="A13" s="84">
        <v>3</v>
      </c>
      <c r="B13" s="5" t="s">
        <v>364</v>
      </c>
      <c r="C13" s="10">
        <v>2191.36</v>
      </c>
      <c r="D13" s="98">
        <v>4907.28</v>
      </c>
      <c r="E13" s="57">
        <f t="shared" si="0"/>
        <v>2715.9199999999996</v>
      </c>
    </row>
    <row r="14" spans="1:5" ht="12.75">
      <c r="A14" s="84">
        <v>4</v>
      </c>
      <c r="B14" s="5" t="s">
        <v>633</v>
      </c>
      <c r="C14" s="10">
        <v>27542.77</v>
      </c>
      <c r="D14" s="98">
        <v>38264.99</v>
      </c>
      <c r="E14" s="57">
        <f t="shared" si="0"/>
        <v>10722.219999999998</v>
      </c>
    </row>
    <row r="15" spans="1:5" ht="12.75">
      <c r="A15" s="84">
        <v>5</v>
      </c>
      <c r="B15" s="5" t="s">
        <v>1061</v>
      </c>
      <c r="C15" s="10">
        <f>3500+2400+3600</f>
        <v>9500</v>
      </c>
      <c r="D15" s="98">
        <f>4200+2400+3300</f>
        <v>9900</v>
      </c>
      <c r="E15" s="57">
        <f t="shared" si="0"/>
        <v>400</v>
      </c>
    </row>
    <row r="16" spans="1:5" ht="12.75">
      <c r="A16" s="84">
        <v>6</v>
      </c>
      <c r="B16" s="105" t="s">
        <v>1073</v>
      </c>
      <c r="C16" s="10">
        <v>39969.31</v>
      </c>
      <c r="D16" s="98">
        <v>85427.39</v>
      </c>
      <c r="E16" s="57">
        <f t="shared" si="0"/>
        <v>45458.08</v>
      </c>
    </row>
    <row r="17" spans="1:5" ht="13.5" thickBot="1">
      <c r="A17" s="250"/>
      <c r="B17" s="251"/>
      <c r="C17" s="118">
        <f>SUM(C11:C16)</f>
        <v>308517.31</v>
      </c>
      <c r="D17" s="118">
        <f>SUM(D11:D16)</f>
        <v>410823.07</v>
      </c>
      <c r="E17" s="137">
        <f>SUM(E11:E16)</f>
        <v>102305.75999999998</v>
      </c>
    </row>
    <row r="18" spans="1:5" ht="12.75">
      <c r="A18" s="385" t="s">
        <v>793</v>
      </c>
      <c r="B18" s="386"/>
      <c r="C18" s="386"/>
      <c r="D18" s="386"/>
      <c r="E18" s="108">
        <f>E117</f>
        <v>147623.42</v>
      </c>
    </row>
    <row r="19" spans="1:5" ht="12.75">
      <c r="A19" s="387" t="s">
        <v>794</v>
      </c>
      <c r="B19" s="384"/>
      <c r="C19" s="384"/>
      <c r="D19" s="384"/>
      <c r="E19" s="22">
        <v>453764.31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25.5">
      <c r="A22" s="86">
        <v>1</v>
      </c>
      <c r="B22" s="64" t="s">
        <v>708</v>
      </c>
      <c r="C22" s="80">
        <f>C62</f>
        <v>220828.38</v>
      </c>
      <c r="E22" s="29"/>
    </row>
    <row r="23" spans="1:5" ht="12.75">
      <c r="A23" s="91">
        <v>2</v>
      </c>
      <c r="B23" s="25" t="s">
        <v>344</v>
      </c>
      <c r="C23" s="102">
        <f>C69</f>
        <v>7079.6</v>
      </c>
      <c r="D23" s="388"/>
      <c r="E23" s="389"/>
    </row>
    <row r="24" spans="1:5" ht="12.75">
      <c r="A24" s="84">
        <v>3</v>
      </c>
      <c r="B24" s="9" t="s">
        <v>649</v>
      </c>
      <c r="C24" s="48">
        <v>7380.56</v>
      </c>
      <c r="E24" s="29"/>
    </row>
    <row r="25" spans="1:5" ht="12.75">
      <c r="A25" s="84">
        <v>4</v>
      </c>
      <c r="B25" s="9" t="s">
        <v>122</v>
      </c>
      <c r="C25" s="48">
        <f>(C8*0.55*12)</f>
        <v>9904.62</v>
      </c>
      <c r="E25" s="29"/>
    </row>
    <row r="26" spans="1:5" ht="12.75">
      <c r="A26" s="84">
        <v>5</v>
      </c>
      <c r="B26" s="9" t="s">
        <v>658</v>
      </c>
      <c r="C26" s="79">
        <v>23371.92</v>
      </c>
      <c r="E26" s="29"/>
    </row>
    <row r="27" spans="1:5" ht="12.75">
      <c r="A27" s="91">
        <v>6</v>
      </c>
      <c r="B27" s="25" t="s">
        <v>61</v>
      </c>
      <c r="C27" s="96">
        <v>1200</v>
      </c>
      <c r="E27" s="29"/>
    </row>
    <row r="28" spans="1:5" ht="12.75">
      <c r="A28" s="91">
        <v>7</v>
      </c>
      <c r="B28" s="25" t="s">
        <v>705</v>
      </c>
      <c r="C28" s="96">
        <v>91148.31</v>
      </c>
      <c r="E28" s="29"/>
    </row>
    <row r="29" spans="1:5" ht="12.75">
      <c r="A29" s="91">
        <v>8</v>
      </c>
      <c r="B29" s="346" t="s">
        <v>26</v>
      </c>
      <c r="C29" s="96">
        <v>600</v>
      </c>
      <c r="E29" s="29"/>
    </row>
    <row r="30" spans="1:5" ht="25.5">
      <c r="A30" s="91">
        <v>9</v>
      </c>
      <c r="B30" s="25" t="s">
        <v>60</v>
      </c>
      <c r="C30" s="96">
        <v>7900</v>
      </c>
      <c r="E30" s="29"/>
    </row>
    <row r="31" spans="1:5" ht="25.5">
      <c r="A31" s="91">
        <v>10</v>
      </c>
      <c r="B31" s="25" t="s">
        <v>327</v>
      </c>
      <c r="C31" s="96">
        <v>2075.66</v>
      </c>
      <c r="E31" s="29"/>
    </row>
    <row r="32" spans="1:5" ht="12.75">
      <c r="A32" s="91">
        <v>11</v>
      </c>
      <c r="B32" s="25" t="s">
        <v>1175</v>
      </c>
      <c r="C32" s="349">
        <v>2367.55</v>
      </c>
      <c r="E32" s="29"/>
    </row>
    <row r="33" spans="1:5" ht="12.75">
      <c r="A33" s="91">
        <v>12</v>
      </c>
      <c r="B33" s="109" t="s">
        <v>707</v>
      </c>
      <c r="C33" s="349">
        <v>3238.9</v>
      </c>
      <c r="E33" s="29"/>
    </row>
    <row r="34" spans="1:5" ht="38.25">
      <c r="A34" s="91">
        <v>13</v>
      </c>
      <c r="B34" s="25" t="s">
        <v>706</v>
      </c>
      <c r="C34" s="349">
        <v>1924.92</v>
      </c>
      <c r="E34" s="29"/>
    </row>
    <row r="35" spans="1:3" ht="12.75">
      <c r="A35" s="50"/>
      <c r="B35" s="20" t="s">
        <v>629</v>
      </c>
      <c r="C35" s="51">
        <f>SUM(C22:C34)</f>
        <v>379020.42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(C17)*15%</f>
        <v>46277.5965</v>
      </c>
    </row>
    <row r="38" spans="1:3" ht="12.75">
      <c r="A38" s="84">
        <v>2</v>
      </c>
      <c r="B38" s="9" t="s">
        <v>813</v>
      </c>
      <c r="C38" s="48">
        <f>C75</f>
        <v>3250.2998056822644</v>
      </c>
    </row>
    <row r="39" spans="1:3" ht="12.75">
      <c r="A39" s="84">
        <v>3</v>
      </c>
      <c r="B39" s="9" t="s">
        <v>653</v>
      </c>
      <c r="C39" s="48">
        <f>C76</f>
        <v>3530.307198389214</v>
      </c>
    </row>
    <row r="40" spans="1:3" ht="12.75">
      <c r="A40" s="84">
        <v>4</v>
      </c>
      <c r="B40" s="9" t="s">
        <v>1114</v>
      </c>
      <c r="C40" s="52">
        <f>C77</f>
        <v>7166.664762773315</v>
      </c>
    </row>
    <row r="41" spans="1:3" ht="12.75">
      <c r="A41" s="84">
        <v>5</v>
      </c>
      <c r="B41" s="9" t="s">
        <v>162</v>
      </c>
      <c r="C41" s="52">
        <f>C78</f>
        <v>5236.586848337395</v>
      </c>
    </row>
    <row r="42" spans="1:3" ht="12.75">
      <c r="A42" s="84">
        <v>6</v>
      </c>
      <c r="B42" s="9" t="s">
        <v>1051</v>
      </c>
      <c r="C42" s="48">
        <f>C79+C81+C82+C83+C80</f>
        <v>8886.465743539626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74347.9208587218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C17*2%</f>
        <v>6170.3462</v>
      </c>
    </row>
    <row r="50" spans="1:3" ht="12.75">
      <c r="A50" s="84">
        <v>2</v>
      </c>
      <c r="B50" s="9" t="s">
        <v>391</v>
      </c>
      <c r="C50" s="48">
        <f>C51</f>
        <v>18140.817828</v>
      </c>
    </row>
    <row r="51" spans="1:4" ht="12.75">
      <c r="A51" s="49"/>
      <c r="B51" s="5" t="s">
        <v>334</v>
      </c>
      <c r="C51" s="41">
        <f>(C17-C49)*6%</f>
        <v>18140.817828</v>
      </c>
      <c r="D51" s="19"/>
    </row>
    <row r="52" spans="1:3" ht="13.5" thickBot="1">
      <c r="A52" s="54"/>
      <c r="B52" s="55" t="s">
        <v>967</v>
      </c>
      <c r="C52" s="56">
        <f>C49+C50</f>
        <v>24311.164028</v>
      </c>
    </row>
    <row r="53" spans="1:3" ht="12.75">
      <c r="A53" s="23"/>
      <c r="B53" s="4" t="s">
        <v>288</v>
      </c>
      <c r="C53" s="11">
        <f>C35+C47+C52</f>
        <v>477679.5048867217</v>
      </c>
    </row>
    <row r="54" spans="1:3" ht="12.75">
      <c r="A54" s="23"/>
      <c r="B54" s="77"/>
      <c r="C54" s="1"/>
    </row>
    <row r="55" spans="1:3" ht="15">
      <c r="A55" s="23"/>
      <c r="B55" s="14" t="s">
        <v>975</v>
      </c>
      <c r="C55" s="11">
        <v>30202.92</v>
      </c>
    </row>
    <row r="56" spans="1:3" ht="15">
      <c r="A56" s="23"/>
      <c r="B56" s="14" t="s">
        <v>180</v>
      </c>
      <c r="C56" s="11">
        <f>C53-C55-C17</f>
        <v>138959.27488672175</v>
      </c>
    </row>
    <row r="57" ht="12.75">
      <c r="B57" s="1" t="s">
        <v>85</v>
      </c>
    </row>
    <row r="58" ht="16.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940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1500.7</v>
      </c>
      <c r="E61" t="s">
        <v>116</v>
      </c>
    </row>
    <row r="62" spans="1:5" ht="12.75">
      <c r="A62" s="60" t="s">
        <v>218</v>
      </c>
      <c r="B62" s="39" t="s">
        <v>832</v>
      </c>
      <c r="C62" s="47">
        <v>220828.38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2015.8</v>
      </c>
      <c r="D64" s="15"/>
      <c r="E64" s="15"/>
    </row>
    <row r="65" spans="1:5" ht="12.75">
      <c r="A65" s="62" t="s">
        <v>166</v>
      </c>
      <c r="B65" s="6" t="s">
        <v>1199</v>
      </c>
      <c r="C65" s="41">
        <v>29944.13</v>
      </c>
      <c r="D65" s="15"/>
      <c r="E65" s="15"/>
    </row>
    <row r="66" spans="1:5" ht="12.75">
      <c r="A66" s="62" t="s">
        <v>166</v>
      </c>
      <c r="B66" s="6" t="s">
        <v>634</v>
      </c>
      <c r="C66" s="41">
        <v>76525.13</v>
      </c>
      <c r="D66" s="15"/>
      <c r="E66" s="15"/>
    </row>
    <row r="67" spans="1:5" ht="12.75">
      <c r="A67" s="62" t="s">
        <v>166</v>
      </c>
      <c r="B67" s="6" t="s">
        <v>371</v>
      </c>
      <c r="C67" s="41">
        <v>21214.46</v>
      </c>
      <c r="D67" s="15"/>
      <c r="E67" s="15"/>
    </row>
    <row r="68" spans="1:5" ht="13.5" thickBot="1">
      <c r="A68" s="63" t="s">
        <v>166</v>
      </c>
      <c r="B68" s="42" t="s">
        <v>818</v>
      </c>
      <c r="C68" s="46">
        <v>1102.27</v>
      </c>
      <c r="D68" s="15"/>
      <c r="E68" s="15"/>
    </row>
    <row r="69" spans="1:5" ht="12.75">
      <c r="A69" s="60" t="s">
        <v>328</v>
      </c>
      <c r="B69" s="39" t="s">
        <v>343</v>
      </c>
      <c r="C69" s="47">
        <v>7079.6</v>
      </c>
      <c r="D69" s="15"/>
      <c r="E69" s="12"/>
    </row>
    <row r="70" spans="1:5" ht="12.75">
      <c r="A70" s="61"/>
      <c r="B70" s="6" t="s">
        <v>118</v>
      </c>
      <c r="C70" s="41"/>
      <c r="D70" s="15"/>
      <c r="E70" s="12"/>
    </row>
    <row r="71" spans="1:5" ht="12.75">
      <c r="A71" s="62" t="s">
        <v>166</v>
      </c>
      <c r="B71" s="6" t="s">
        <v>380</v>
      </c>
      <c r="C71" s="41">
        <v>308</v>
      </c>
      <c r="D71" s="15"/>
      <c r="E71" s="12"/>
    </row>
    <row r="72" spans="1:5" ht="13.5" thickBot="1">
      <c r="A72" s="63" t="s">
        <v>166</v>
      </c>
      <c r="B72" s="42" t="s">
        <v>818</v>
      </c>
      <c r="C72" s="46">
        <v>85.81</v>
      </c>
      <c r="D72" s="15"/>
      <c r="E72" s="15"/>
    </row>
    <row r="73" spans="1:5" ht="12.75">
      <c r="A73" s="300" t="s">
        <v>787</v>
      </c>
      <c r="B73" s="97" t="s">
        <v>1050</v>
      </c>
      <c r="C73" s="82">
        <f>C74+C75+C77+C76+C78+C79+C81+C82+C83+C80</f>
        <v>74347.92085872182</v>
      </c>
      <c r="D73" s="15"/>
      <c r="E73" s="12"/>
    </row>
    <row r="74" spans="1:5" ht="13.5" thickBot="1">
      <c r="A74" s="40" t="s">
        <v>166</v>
      </c>
      <c r="B74" s="6" t="s">
        <v>227</v>
      </c>
      <c r="C74" s="41">
        <f>C37</f>
        <v>46277.5965</v>
      </c>
      <c r="D74" s="15"/>
      <c r="E74" s="12"/>
    </row>
    <row r="75" spans="1:5" ht="12.75">
      <c r="A75" s="40" t="s">
        <v>166</v>
      </c>
      <c r="B75" s="6" t="s">
        <v>370</v>
      </c>
      <c r="C75" s="317">
        <f>401410.25/185335.63*C8</f>
        <v>3250.2998056822644</v>
      </c>
      <c r="D75" s="375" t="s">
        <v>696</v>
      </c>
      <c r="E75" s="376"/>
    </row>
    <row r="76" spans="1:5" ht="12.75">
      <c r="A76" s="73" t="s">
        <v>166</v>
      </c>
      <c r="B76" s="74" t="s">
        <v>397</v>
      </c>
      <c r="C76" s="317">
        <f>435991.01/185335.63*C8</f>
        <v>3530.307198389214</v>
      </c>
      <c r="D76" s="377" t="s">
        <v>697</v>
      </c>
      <c r="E76" s="378"/>
    </row>
    <row r="77" spans="1:5" ht="12.75">
      <c r="A77" s="71" t="s">
        <v>166</v>
      </c>
      <c r="B77" s="72" t="s">
        <v>416</v>
      </c>
      <c r="C77" s="317">
        <f>1082167/226605.83*C8</f>
        <v>7166.664762773315</v>
      </c>
      <c r="D77" s="379" t="s">
        <v>698</v>
      </c>
      <c r="E77" s="380"/>
    </row>
    <row r="78" spans="1:5" ht="25.5">
      <c r="A78" s="73" t="s">
        <v>166</v>
      </c>
      <c r="B78" s="72" t="s">
        <v>231</v>
      </c>
      <c r="C78" s="318">
        <f>845684.35/242356.05*D61</f>
        <v>5236.586848337395</v>
      </c>
      <c r="D78" s="381" t="s">
        <v>699</v>
      </c>
      <c r="E78" s="382"/>
    </row>
    <row r="79" spans="1:5" ht="12.75">
      <c r="A79" s="73" t="s">
        <v>166</v>
      </c>
      <c r="B79" s="74" t="s">
        <v>808</v>
      </c>
      <c r="C79" s="318">
        <f>642562.44/242356.05*D61</f>
        <v>3978.829716477059</v>
      </c>
      <c r="D79" s="371" t="s">
        <v>700</v>
      </c>
      <c r="E79" s="372"/>
    </row>
    <row r="80" spans="1:5" ht="12.75">
      <c r="A80" s="73" t="s">
        <v>166</v>
      </c>
      <c r="B80" s="74" t="s">
        <v>826</v>
      </c>
      <c r="C80" s="318">
        <f>51615/196822.43*D61</f>
        <v>393.54574831740473</v>
      </c>
      <c r="D80" s="371" t="s">
        <v>701</v>
      </c>
      <c r="E80" s="372"/>
    </row>
    <row r="81" spans="1:5" ht="12.75">
      <c r="A81" s="73" t="s">
        <v>166</v>
      </c>
      <c r="B81" s="74" t="s">
        <v>655</v>
      </c>
      <c r="C81" s="318">
        <f>129011.28/196822.43*D61</f>
        <v>983.6644527557149</v>
      </c>
      <c r="D81" s="371" t="s">
        <v>702</v>
      </c>
      <c r="E81" s="372"/>
    </row>
    <row r="82" spans="1:5" ht="12.75">
      <c r="A82" s="73" t="s">
        <v>166</v>
      </c>
      <c r="B82" s="74" t="s">
        <v>656</v>
      </c>
      <c r="C82" s="318">
        <f>164128/196822.43*D61</f>
        <v>1251.4167699281022</v>
      </c>
      <c r="D82" s="373" t="s">
        <v>703</v>
      </c>
      <c r="E82" s="374"/>
    </row>
    <row r="83" spans="1:5" ht="13.5" thickBot="1">
      <c r="A83" s="75" t="s">
        <v>166</v>
      </c>
      <c r="B83" s="76" t="s">
        <v>809</v>
      </c>
      <c r="C83" s="319">
        <f>298900.58/196822.43*D61</f>
        <v>2279.0090560613444</v>
      </c>
      <c r="D83" s="369" t="s">
        <v>704</v>
      </c>
      <c r="E83" s="370"/>
    </row>
    <row r="84" ht="13.5" thickBot="1"/>
    <row r="85" spans="2:5" ht="24.75" thickBot="1">
      <c r="B85" s="143"/>
      <c r="C85" s="205" t="s">
        <v>104</v>
      </c>
      <c r="D85" s="129" t="s">
        <v>306</v>
      </c>
      <c r="E85" s="130" t="s">
        <v>305</v>
      </c>
    </row>
    <row r="86" spans="2:5" ht="13.5" thickBot="1">
      <c r="B86" s="363" t="s">
        <v>659</v>
      </c>
      <c r="C86" s="364"/>
      <c r="D86" s="364"/>
      <c r="E86" s="365"/>
    </row>
    <row r="87" spans="2:5" ht="12.75">
      <c r="B87" s="140" t="s">
        <v>285</v>
      </c>
      <c r="C87" s="141">
        <v>98553.86</v>
      </c>
      <c r="D87" s="141">
        <v>111945.07</v>
      </c>
      <c r="E87" s="44">
        <f>D87-C87</f>
        <v>13391.210000000006</v>
      </c>
    </row>
    <row r="88" spans="2:5" ht="13.5" thickBot="1">
      <c r="B88" s="116" t="s">
        <v>637</v>
      </c>
      <c r="C88" s="65">
        <v>55509.48</v>
      </c>
      <c r="D88" s="65">
        <v>62631.65</v>
      </c>
      <c r="E88" s="131">
        <f>D88-C88</f>
        <v>7122.169999999998</v>
      </c>
    </row>
    <row r="89" spans="2:5" ht="13.5" thickBot="1">
      <c r="B89" s="120"/>
      <c r="C89" s="134">
        <f>SUM(C87:C88)</f>
        <v>154063.34</v>
      </c>
      <c r="D89" s="134">
        <f>SUM(D87:D88)</f>
        <v>174576.72</v>
      </c>
      <c r="E89" s="207">
        <f>D89-C89</f>
        <v>20513.380000000005</v>
      </c>
    </row>
    <row r="90" spans="2:5" ht="13.5" thickBot="1">
      <c r="B90" s="393" t="s">
        <v>660</v>
      </c>
      <c r="C90" s="394"/>
      <c r="D90" s="394"/>
      <c r="E90" s="395"/>
    </row>
    <row r="91" spans="2:5" ht="12.75">
      <c r="B91" s="140" t="s">
        <v>285</v>
      </c>
      <c r="C91" s="141">
        <v>127170.51</v>
      </c>
      <c r="D91" s="218">
        <v>148027.65</v>
      </c>
      <c r="E91" s="44">
        <f>D91-C91</f>
        <v>20857.14</v>
      </c>
    </row>
    <row r="92" spans="2:5" ht="13.5" thickBot="1">
      <c r="B92" s="157" t="s">
        <v>637</v>
      </c>
      <c r="C92" s="95">
        <v>63340.57</v>
      </c>
      <c r="D92" s="235">
        <v>73203.97</v>
      </c>
      <c r="E92" s="46">
        <f>D92-C92</f>
        <v>9863.400000000001</v>
      </c>
    </row>
    <row r="93" spans="2:5" ht="13.5" thickBot="1">
      <c r="B93" s="187"/>
      <c r="C93" s="254">
        <f>SUM(C91:C92)</f>
        <v>190511.08</v>
      </c>
      <c r="D93" s="255">
        <f>SUM(D91:D92)</f>
        <v>221231.62</v>
      </c>
      <c r="E93" s="256">
        <f>SUM(E91:E92)</f>
        <v>30720.54</v>
      </c>
    </row>
    <row r="94" spans="2:5" ht="13.5" thickBot="1">
      <c r="B94" s="363" t="s">
        <v>419</v>
      </c>
      <c r="C94" s="364"/>
      <c r="D94" s="364"/>
      <c r="E94" s="365"/>
    </row>
    <row r="95" spans="2:5" ht="12.75">
      <c r="B95" s="140" t="s">
        <v>285</v>
      </c>
      <c r="C95" s="141">
        <v>150021.04</v>
      </c>
      <c r="D95" s="155">
        <v>156636.54</v>
      </c>
      <c r="E95" s="213">
        <f>D95-C95</f>
        <v>6615.5</v>
      </c>
    </row>
    <row r="96" spans="2:5" ht="12.75">
      <c r="B96" s="115" t="s">
        <v>637</v>
      </c>
      <c r="C96" s="5">
        <v>73527.93</v>
      </c>
      <c r="D96" s="33">
        <v>76157.77</v>
      </c>
      <c r="E96" s="214">
        <f>D96-C96</f>
        <v>2629.840000000011</v>
      </c>
    </row>
    <row r="97" spans="2:5" ht="12.75">
      <c r="B97" s="278" t="s">
        <v>633</v>
      </c>
      <c r="C97" s="122">
        <v>10686.87</v>
      </c>
      <c r="D97" s="122">
        <v>12987</v>
      </c>
      <c r="E97" s="214">
        <f>D97-C97</f>
        <v>2300.129999999999</v>
      </c>
    </row>
    <row r="98" spans="2:5" ht="26.25" thickBot="1">
      <c r="B98" s="156" t="s">
        <v>119</v>
      </c>
      <c r="C98" s="229">
        <v>3200</v>
      </c>
      <c r="D98" s="229">
        <v>3200</v>
      </c>
      <c r="E98" s="228">
        <f>D98-C98</f>
        <v>0</v>
      </c>
    </row>
    <row r="99" spans="2:5" ht="13.5" thickBot="1">
      <c r="B99" s="187"/>
      <c r="C99" s="217">
        <f>SUM(C95:C98)</f>
        <v>237435.84</v>
      </c>
      <c r="D99" s="217">
        <f>SUM(D95:D98)</f>
        <v>248981.31</v>
      </c>
      <c r="E99" s="217">
        <f>SUM(E95:E98)</f>
        <v>11545.47000000001</v>
      </c>
    </row>
    <row r="100" spans="2:5" ht="13.5" thickBot="1">
      <c r="B100" s="363" t="s">
        <v>381</v>
      </c>
      <c r="C100" s="364"/>
      <c r="D100" s="364"/>
      <c r="E100" s="365"/>
    </row>
    <row r="101" spans="2:5" ht="12.75">
      <c r="B101" s="140" t="s">
        <v>285</v>
      </c>
      <c r="C101" s="141">
        <v>224380.4</v>
      </c>
      <c r="D101" s="155">
        <v>216193.89</v>
      </c>
      <c r="E101" s="213">
        <f aca="true" t="shared" si="1" ref="E101:E106">D101-C101</f>
        <v>-8186.50999999998</v>
      </c>
    </row>
    <row r="102" spans="2:5" ht="12.75">
      <c r="B102" s="115" t="s">
        <v>637</v>
      </c>
      <c r="C102" s="5">
        <v>109525.07</v>
      </c>
      <c r="D102" s="33">
        <v>105122.85</v>
      </c>
      <c r="E102" s="214">
        <f t="shared" si="1"/>
        <v>-4402.220000000001</v>
      </c>
    </row>
    <row r="103" spans="2:5" ht="12.75">
      <c r="B103" s="115" t="s">
        <v>633</v>
      </c>
      <c r="C103" s="65">
        <v>41516.75</v>
      </c>
      <c r="D103" s="70">
        <v>37366.98</v>
      </c>
      <c r="E103" s="214">
        <f t="shared" si="1"/>
        <v>-4149.769999999997</v>
      </c>
    </row>
    <row r="104" spans="2:5" ht="12.75">
      <c r="B104" s="116" t="s">
        <v>415</v>
      </c>
      <c r="C104" s="94">
        <v>1223.23</v>
      </c>
      <c r="D104" s="83">
        <v>0</v>
      </c>
      <c r="E104" s="214">
        <f t="shared" si="1"/>
        <v>-1223.23</v>
      </c>
    </row>
    <row r="105" spans="2:5" ht="12.75">
      <c r="B105" s="278" t="s">
        <v>792</v>
      </c>
      <c r="C105" s="122">
        <v>6000</v>
      </c>
      <c r="D105" s="122">
        <v>6500</v>
      </c>
      <c r="E105" s="214">
        <f t="shared" si="1"/>
        <v>500</v>
      </c>
    </row>
    <row r="106" spans="2:5" ht="13.5" thickBot="1">
      <c r="B106" s="157" t="s">
        <v>1200</v>
      </c>
      <c r="C106" s="229">
        <v>7163.36</v>
      </c>
      <c r="D106" s="229">
        <v>7163.36</v>
      </c>
      <c r="E106" s="216">
        <f t="shared" si="1"/>
        <v>0</v>
      </c>
    </row>
    <row r="107" spans="2:5" ht="13.5" thickBot="1">
      <c r="B107" s="187"/>
      <c r="C107" s="217">
        <f>SUM(C101:C106)</f>
        <v>389808.80999999994</v>
      </c>
      <c r="D107" s="217">
        <f>SUM(D101:D106)</f>
        <v>372347.07999999996</v>
      </c>
      <c r="E107" s="217">
        <f>SUM(E101:E106)</f>
        <v>-17461.729999999978</v>
      </c>
    </row>
    <row r="108" spans="2:5" ht="13.5" thickBot="1">
      <c r="B108" s="363" t="s">
        <v>87</v>
      </c>
      <c r="C108" s="364"/>
      <c r="D108" s="364"/>
      <c r="E108" s="365"/>
    </row>
    <row r="109" spans="2:5" ht="12.75">
      <c r="B109" s="140" t="s">
        <v>285</v>
      </c>
      <c r="C109" s="234">
        <v>152899.95</v>
      </c>
      <c r="D109" s="218">
        <v>181110.15</v>
      </c>
      <c r="E109" s="213">
        <f aca="true" t="shared" si="2" ref="E109:E114">D109-C109</f>
        <v>28210.199999999983</v>
      </c>
    </row>
    <row r="110" spans="2:5" ht="12.75">
      <c r="B110" s="115" t="s">
        <v>637</v>
      </c>
      <c r="C110" s="10">
        <v>76413.92</v>
      </c>
      <c r="D110" s="98">
        <v>91213.26</v>
      </c>
      <c r="E110" s="214">
        <f t="shared" si="2"/>
        <v>14799.339999999997</v>
      </c>
    </row>
    <row r="111" spans="2:5" ht="12.75">
      <c r="B111" s="115" t="s">
        <v>364</v>
      </c>
      <c r="C111" s="10">
        <v>2191.36</v>
      </c>
      <c r="D111" s="98">
        <v>4907.28</v>
      </c>
      <c r="E111" s="214">
        <f t="shared" si="2"/>
        <v>2715.9199999999996</v>
      </c>
    </row>
    <row r="112" spans="2:5" ht="12.75">
      <c r="B112" s="115" t="s">
        <v>633</v>
      </c>
      <c r="C112" s="10">
        <v>27542.77</v>
      </c>
      <c r="D112" s="98">
        <v>38264.99</v>
      </c>
      <c r="E112" s="288">
        <f t="shared" si="2"/>
        <v>10722.219999999998</v>
      </c>
    </row>
    <row r="113" spans="2:5" ht="12.75">
      <c r="B113" s="115" t="s">
        <v>1061</v>
      </c>
      <c r="C113" s="10">
        <f>3500+2400+3600</f>
        <v>9500</v>
      </c>
      <c r="D113" s="98">
        <f>4200+2400+3300</f>
        <v>9900</v>
      </c>
      <c r="E113" s="214">
        <f t="shared" si="2"/>
        <v>400</v>
      </c>
    </row>
    <row r="114" spans="2:5" ht="13.5" thickBot="1">
      <c r="B114" s="266" t="s">
        <v>1073</v>
      </c>
      <c r="C114" s="225">
        <v>39969.31</v>
      </c>
      <c r="D114" s="227">
        <v>85427.39</v>
      </c>
      <c r="E114" s="216">
        <f t="shared" si="2"/>
        <v>45458.08</v>
      </c>
    </row>
    <row r="115" spans="2:5" ht="13.5" thickBot="1">
      <c r="B115" s="187"/>
      <c r="C115" s="217">
        <f>SUM(C109:C114)</f>
        <v>308517.31</v>
      </c>
      <c r="D115" s="217">
        <f>SUM(D109:D114)</f>
        <v>410823.07</v>
      </c>
      <c r="E115" s="217">
        <f>SUM(E109:E114)</f>
        <v>102305.75999999998</v>
      </c>
    </row>
    <row r="116" spans="2:5" ht="13.5" thickBot="1">
      <c r="B116" s="366" t="s">
        <v>379</v>
      </c>
      <c r="C116" s="367"/>
      <c r="D116" s="367"/>
      <c r="E116" s="368"/>
    </row>
    <row r="117" spans="2:5" ht="13.5" thickBot="1">
      <c r="B117" s="153"/>
      <c r="C117" s="175">
        <f>C89+C93+C99+C107+C115</f>
        <v>1280336.38</v>
      </c>
      <c r="D117" s="175">
        <f>D89+D93+D99+D107+D115</f>
        <v>1427959.7999999998</v>
      </c>
      <c r="E117" s="175">
        <f>E89+E93+E99+E107+E115</f>
        <v>147623.42</v>
      </c>
    </row>
  </sheetData>
  <sheetProtection/>
  <mergeCells count="23">
    <mergeCell ref="B94:E94"/>
    <mergeCell ref="D79:E79"/>
    <mergeCell ref="D80:E80"/>
    <mergeCell ref="D81:E81"/>
    <mergeCell ref="D82:E82"/>
    <mergeCell ref="B100:E100"/>
    <mergeCell ref="B116:E116"/>
    <mergeCell ref="B108:E108"/>
    <mergeCell ref="D83:E83"/>
    <mergeCell ref="B86:E86"/>
    <mergeCell ref="B90:E90"/>
    <mergeCell ref="A19:D19"/>
    <mergeCell ref="D23:E23"/>
    <mergeCell ref="D75:E75"/>
    <mergeCell ref="D76:E76"/>
    <mergeCell ref="D77:E77"/>
    <mergeCell ref="D78:E78"/>
    <mergeCell ref="A2:B2"/>
    <mergeCell ref="C2:E2"/>
    <mergeCell ref="C3:E3"/>
    <mergeCell ref="B4:E4"/>
    <mergeCell ref="A6:E6"/>
    <mergeCell ref="A18:D18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625" style="0" customWidth="1"/>
    <col min="2" max="2" width="57.00390625" style="0" customWidth="1"/>
    <col min="3" max="3" width="10.62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800</v>
      </c>
      <c r="C7" s="26"/>
      <c r="D7" s="24"/>
    </row>
    <row r="8" spans="1:4" ht="15">
      <c r="A8" s="26"/>
      <c r="B8" s="27" t="s">
        <v>115</v>
      </c>
      <c r="C8" s="38">
        <v>2452.4</v>
      </c>
      <c r="D8" s="92" t="s">
        <v>116</v>
      </c>
    </row>
    <row r="9" spans="1:4" ht="15">
      <c r="A9" s="26"/>
      <c r="B9" s="27" t="s">
        <v>654</v>
      </c>
      <c r="C9" s="93">
        <v>75.1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284823.58</v>
      </c>
      <c r="D12" s="218">
        <v>299905.63</v>
      </c>
      <c r="E12" s="242">
        <f aca="true" t="shared" si="0" ref="E12:E19">D12-C12</f>
        <v>15082.049999999988</v>
      </c>
    </row>
    <row r="13" spans="1:5" ht="12.75">
      <c r="A13" s="84">
        <v>2</v>
      </c>
      <c r="B13" s="5" t="s">
        <v>637</v>
      </c>
      <c r="C13" s="10">
        <v>141314.01</v>
      </c>
      <c r="D13" s="98">
        <v>149057.64</v>
      </c>
      <c r="E13" s="57">
        <f t="shared" si="0"/>
        <v>7743.630000000005</v>
      </c>
    </row>
    <row r="14" spans="1:5" ht="12.75">
      <c r="A14" s="84">
        <v>3</v>
      </c>
      <c r="B14" s="5" t="s">
        <v>364</v>
      </c>
      <c r="C14" s="10">
        <v>85248.33</v>
      </c>
      <c r="D14" s="98">
        <v>84797.01</v>
      </c>
      <c r="E14" s="57">
        <f t="shared" si="0"/>
        <v>-451.320000000007</v>
      </c>
    </row>
    <row r="15" spans="1:5" ht="12.75">
      <c r="A15" s="84">
        <v>4</v>
      </c>
      <c r="B15" s="5" t="s">
        <v>633</v>
      </c>
      <c r="C15" s="10">
        <v>11749.89</v>
      </c>
      <c r="D15" s="98">
        <v>13538.88</v>
      </c>
      <c r="E15" s="57">
        <f t="shared" si="0"/>
        <v>1788.9899999999998</v>
      </c>
    </row>
    <row r="16" spans="1:5" ht="12.75">
      <c r="A16" s="84">
        <v>5</v>
      </c>
      <c r="B16" s="5" t="s">
        <v>1061</v>
      </c>
      <c r="C16" s="10">
        <f>3500+2400+3300+12312</f>
        <v>21512</v>
      </c>
      <c r="D16" s="98">
        <f>4200+2400+3600+12312</f>
        <v>22512</v>
      </c>
      <c r="E16" s="57">
        <f t="shared" si="0"/>
        <v>1000</v>
      </c>
    </row>
    <row r="17" spans="1:5" ht="12.75">
      <c r="A17" s="84">
        <v>6</v>
      </c>
      <c r="B17" s="5" t="s">
        <v>805</v>
      </c>
      <c r="C17" s="10">
        <f>9410.21+4248</f>
        <v>13658.21</v>
      </c>
      <c r="D17" s="98">
        <f>9414.81+6563.33</f>
        <v>15978.14</v>
      </c>
      <c r="E17" s="57">
        <f t="shared" si="0"/>
        <v>2319.9300000000003</v>
      </c>
    </row>
    <row r="18" spans="1:5" ht="12.75">
      <c r="A18" s="84">
        <v>7</v>
      </c>
      <c r="B18" s="105" t="s">
        <v>950</v>
      </c>
      <c r="C18" s="10">
        <v>21589</v>
      </c>
      <c r="D18" s="98">
        <v>22415.63</v>
      </c>
      <c r="E18" s="57">
        <f t="shared" si="0"/>
        <v>826.630000000001</v>
      </c>
    </row>
    <row r="19" spans="1:5" ht="13.5" thickBot="1">
      <c r="A19" s="261">
        <v>8</v>
      </c>
      <c r="B19" s="357" t="s">
        <v>1088</v>
      </c>
      <c r="C19" s="225">
        <v>9630.53</v>
      </c>
      <c r="D19" s="227">
        <v>9630.53</v>
      </c>
      <c r="E19" s="222">
        <f t="shared" si="0"/>
        <v>0</v>
      </c>
    </row>
    <row r="20" spans="1:5" ht="13.5" thickBot="1">
      <c r="A20" s="250"/>
      <c r="B20" s="251"/>
      <c r="C20" s="118">
        <f>SUM(C12:C19)</f>
        <v>589525.55</v>
      </c>
      <c r="D20" s="118">
        <f>SUM(D12:D19)</f>
        <v>617835.4600000001</v>
      </c>
      <c r="E20" s="137">
        <f>SUM(E12:E19)</f>
        <v>28309.909999999985</v>
      </c>
    </row>
    <row r="21" spans="1:5" ht="12.75">
      <c r="A21" s="385" t="s">
        <v>793</v>
      </c>
      <c r="B21" s="386"/>
      <c r="C21" s="386"/>
      <c r="D21" s="386"/>
      <c r="E21" s="108">
        <f>E123</f>
        <v>68475.85999999997</v>
      </c>
    </row>
    <row r="22" spans="1:5" ht="12.75">
      <c r="A22" s="387" t="s">
        <v>794</v>
      </c>
      <c r="B22" s="384"/>
      <c r="C22" s="384"/>
      <c r="D22" s="384"/>
      <c r="E22" s="22">
        <v>76005.1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12.75">
      <c r="A25" s="86">
        <v>1</v>
      </c>
      <c r="B25" s="64" t="s">
        <v>446</v>
      </c>
      <c r="C25" s="80">
        <f>C64</f>
        <v>139487.74</v>
      </c>
      <c r="E25" s="29"/>
    </row>
    <row r="26" spans="1:5" ht="12.75">
      <c r="A26" s="91">
        <v>2</v>
      </c>
      <c r="B26" s="25" t="s">
        <v>344</v>
      </c>
      <c r="C26" s="102">
        <f>C69</f>
        <v>10285.36</v>
      </c>
      <c r="D26" s="388"/>
      <c r="E26" s="389"/>
    </row>
    <row r="27" spans="1:5" ht="12.75">
      <c r="A27" s="84">
        <v>3</v>
      </c>
      <c r="B27" s="9" t="s">
        <v>649</v>
      </c>
      <c r="C27" s="48">
        <v>14761.12</v>
      </c>
      <c r="E27" s="29"/>
    </row>
    <row r="28" spans="1:5" ht="12.75">
      <c r="A28" s="84">
        <v>4</v>
      </c>
      <c r="B28" s="9" t="s">
        <v>122</v>
      </c>
      <c r="C28" s="48">
        <f>(C8*0.55*12)</f>
        <v>16185.840000000002</v>
      </c>
      <c r="E28" s="29"/>
    </row>
    <row r="29" spans="1:5" ht="12.75">
      <c r="A29" s="84">
        <v>5</v>
      </c>
      <c r="B29" s="9" t="s">
        <v>658</v>
      </c>
      <c r="C29" s="79">
        <v>43202.64</v>
      </c>
      <c r="E29" s="29"/>
    </row>
    <row r="30" spans="1:5" ht="12.75">
      <c r="A30" s="91">
        <v>6</v>
      </c>
      <c r="B30" s="25" t="s">
        <v>61</v>
      </c>
      <c r="C30" s="96">
        <v>2400</v>
      </c>
      <c r="E30" s="29"/>
    </row>
    <row r="31" spans="1:5" ht="12.75">
      <c r="A31" s="91">
        <v>7</v>
      </c>
      <c r="B31" s="346" t="s">
        <v>26</v>
      </c>
      <c r="C31" s="96">
        <v>691.8</v>
      </c>
      <c r="E31" s="29"/>
    </row>
    <row r="32" spans="1:5" ht="25.5">
      <c r="A32" s="91">
        <v>8</v>
      </c>
      <c r="B32" s="25" t="s">
        <v>40</v>
      </c>
      <c r="C32" s="96">
        <v>4200</v>
      </c>
      <c r="E32" s="29"/>
    </row>
    <row r="33" spans="1:5" ht="25.5">
      <c r="A33" s="91">
        <v>9</v>
      </c>
      <c r="B33" s="25" t="s">
        <v>327</v>
      </c>
      <c r="C33" s="96">
        <v>4390.81</v>
      </c>
      <c r="E33" s="29"/>
    </row>
    <row r="34" spans="1:5" ht="12.75">
      <c r="A34" s="91">
        <v>10</v>
      </c>
      <c r="B34" s="25" t="s">
        <v>1175</v>
      </c>
      <c r="C34" s="349">
        <v>5008.21</v>
      </c>
      <c r="E34" s="29"/>
    </row>
    <row r="35" spans="1:5" ht="12.75">
      <c r="A35" s="91">
        <v>11</v>
      </c>
      <c r="B35" s="25" t="s">
        <v>1094</v>
      </c>
      <c r="C35" s="96">
        <v>19700.98</v>
      </c>
      <c r="E35" s="29"/>
    </row>
    <row r="36" spans="1:5" ht="12.75">
      <c r="A36" s="91">
        <v>12</v>
      </c>
      <c r="B36" s="25" t="s">
        <v>363</v>
      </c>
      <c r="C36" s="79">
        <v>225.3</v>
      </c>
      <c r="E36" s="29"/>
    </row>
    <row r="37" spans="1:3" ht="12.75">
      <c r="A37" s="50"/>
      <c r="B37" s="20" t="s">
        <v>629</v>
      </c>
      <c r="C37" s="51">
        <f>SUM(C25:C36)</f>
        <v>260539.79999999993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(C20)*15%</f>
        <v>88428.8325</v>
      </c>
    </row>
    <row r="40" spans="1:3" ht="12.75">
      <c r="A40" s="84">
        <v>2</v>
      </c>
      <c r="B40" s="9" t="s">
        <v>813</v>
      </c>
      <c r="C40" s="48">
        <f>C75</f>
        <v>5311.54477474191</v>
      </c>
    </row>
    <row r="41" spans="1:3" ht="12.75">
      <c r="A41" s="84">
        <v>3</v>
      </c>
      <c r="B41" s="9" t="s">
        <v>653</v>
      </c>
      <c r="C41" s="48">
        <f>C76</f>
        <v>5769.124657379695</v>
      </c>
    </row>
    <row r="42" spans="1:3" ht="12.75">
      <c r="A42" s="84">
        <v>4</v>
      </c>
      <c r="B42" s="9" t="s">
        <v>1114</v>
      </c>
      <c r="C42" s="52">
        <f>C77</f>
        <v>11711.553717748568</v>
      </c>
    </row>
    <row r="43" spans="1:3" ht="12.75">
      <c r="A43" s="84">
        <v>5</v>
      </c>
      <c r="B43" s="9" t="s">
        <v>162</v>
      </c>
      <c r="C43" s="52">
        <f>C78</f>
        <v>8819.533057355078</v>
      </c>
    </row>
    <row r="44" spans="1:3" ht="12.75">
      <c r="A44" s="84">
        <v>6</v>
      </c>
      <c r="B44" s="9" t="s">
        <v>1051</v>
      </c>
      <c r="C44" s="48">
        <f>C79+C81+C82+C83+C80</f>
        <v>14966.71031305151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135007.29902027675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C20*2%</f>
        <v>11790.511</v>
      </c>
    </row>
    <row r="52" spans="1:3" ht="12.75">
      <c r="A52" s="84">
        <v>2</v>
      </c>
      <c r="B52" s="9" t="s">
        <v>391</v>
      </c>
      <c r="C52" s="48">
        <f>C53</f>
        <v>34664.10234</v>
      </c>
    </row>
    <row r="53" spans="1:4" ht="12.75">
      <c r="A53" s="49"/>
      <c r="B53" s="5" t="s">
        <v>334</v>
      </c>
      <c r="C53" s="41">
        <f>(C20-C51)*6%</f>
        <v>34664.10234</v>
      </c>
      <c r="D53" s="19"/>
    </row>
    <row r="54" spans="1:3" ht="13.5" thickBot="1">
      <c r="A54" s="54"/>
      <c r="B54" s="55" t="s">
        <v>967</v>
      </c>
      <c r="C54" s="56">
        <f>C51+C52</f>
        <v>46454.613339999996</v>
      </c>
    </row>
    <row r="55" spans="1:3" ht="12.75">
      <c r="A55" s="23"/>
      <c r="B55" s="4" t="s">
        <v>288</v>
      </c>
      <c r="C55" s="11">
        <f>C37+C49+C54</f>
        <v>442001.71236027667</v>
      </c>
    </row>
    <row r="56" spans="1:3" ht="12.75">
      <c r="A56" s="23"/>
      <c r="B56" s="77"/>
      <c r="C56" s="1"/>
    </row>
    <row r="57" spans="1:3" ht="15">
      <c r="A57" s="23"/>
      <c r="B57" s="14" t="s">
        <v>812</v>
      </c>
      <c r="C57" s="11">
        <v>218227.47</v>
      </c>
    </row>
    <row r="58" spans="1:3" ht="15">
      <c r="A58" s="23"/>
      <c r="B58" s="14" t="s">
        <v>180</v>
      </c>
      <c r="C58" s="11">
        <f>C55+C57-C20</f>
        <v>70703.63236027665</v>
      </c>
    </row>
    <row r="59" ht="12.75">
      <c r="B59" s="1" t="s">
        <v>85</v>
      </c>
    </row>
    <row r="60" ht="16.5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728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C8+C9</f>
        <v>2527.5</v>
      </c>
      <c r="E63" t="s">
        <v>116</v>
      </c>
    </row>
    <row r="64" spans="1:5" ht="12.75">
      <c r="A64" s="60" t="s">
        <v>218</v>
      </c>
      <c r="B64" s="39" t="s">
        <v>832</v>
      </c>
      <c r="C64" s="47">
        <v>139487.74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11174</v>
      </c>
      <c r="D66" s="15"/>
      <c r="E66" s="15"/>
    </row>
    <row r="67" spans="1:5" ht="12.75">
      <c r="A67" s="62" t="s">
        <v>166</v>
      </c>
      <c r="B67" s="6" t="s">
        <v>371</v>
      </c>
      <c r="C67" s="41">
        <v>18762.52</v>
      </c>
      <c r="D67" s="15"/>
      <c r="E67" s="15"/>
    </row>
    <row r="68" spans="1:5" ht="13.5" thickBot="1">
      <c r="A68" s="63" t="s">
        <v>166</v>
      </c>
      <c r="B68" s="42" t="s">
        <v>818</v>
      </c>
      <c r="C68" s="46">
        <v>167.2</v>
      </c>
      <c r="D68" s="15"/>
      <c r="E68" s="15"/>
    </row>
    <row r="69" spans="1:5" ht="12.75">
      <c r="A69" s="60" t="s">
        <v>328</v>
      </c>
      <c r="B69" s="39" t="s">
        <v>343</v>
      </c>
      <c r="C69" s="47">
        <v>10285.36</v>
      </c>
      <c r="D69" s="15"/>
      <c r="E69" s="12"/>
    </row>
    <row r="70" spans="1:5" ht="12.75">
      <c r="A70" s="61"/>
      <c r="B70" s="6" t="s">
        <v>118</v>
      </c>
      <c r="C70" s="41"/>
      <c r="D70" s="15"/>
      <c r="E70" s="12"/>
    </row>
    <row r="71" spans="1:5" ht="12.75">
      <c r="A71" s="62" t="s">
        <v>166</v>
      </c>
      <c r="B71" s="6" t="s">
        <v>380</v>
      </c>
      <c r="C71" s="41">
        <v>530</v>
      </c>
      <c r="D71" s="15"/>
      <c r="E71" s="12"/>
    </row>
    <row r="72" spans="1:5" ht="13.5" thickBot="1">
      <c r="A72" s="63" t="s">
        <v>166</v>
      </c>
      <c r="B72" s="42" t="s">
        <v>818</v>
      </c>
      <c r="C72" s="46">
        <v>140.23</v>
      </c>
      <c r="D72" s="15"/>
      <c r="E72" s="15"/>
    </row>
    <row r="73" spans="1:5" ht="12.75">
      <c r="A73" s="300" t="s">
        <v>787</v>
      </c>
      <c r="B73" s="97" t="s">
        <v>1050</v>
      </c>
      <c r="C73" s="82">
        <f>C74+C75+C77+C76+C78+C79+C81+C82+C83+C80</f>
        <v>135007.29902027675</v>
      </c>
      <c r="D73" s="15"/>
      <c r="E73" s="12"/>
    </row>
    <row r="74" spans="1:5" ht="13.5" thickBot="1">
      <c r="A74" s="40" t="s">
        <v>166</v>
      </c>
      <c r="B74" s="6" t="s">
        <v>227</v>
      </c>
      <c r="C74" s="41">
        <f>C39</f>
        <v>88428.8325</v>
      </c>
      <c r="D74" s="15"/>
      <c r="E74" s="12"/>
    </row>
    <row r="75" spans="1:5" ht="12.75">
      <c r="A75" s="40" t="s">
        <v>166</v>
      </c>
      <c r="B75" s="6" t="s">
        <v>370</v>
      </c>
      <c r="C75" s="317">
        <f>401410.25/185335.63*C8</f>
        <v>5311.54477474191</v>
      </c>
      <c r="D75" s="375" t="s">
        <v>729</v>
      </c>
      <c r="E75" s="376"/>
    </row>
    <row r="76" spans="1:5" ht="12.75">
      <c r="A76" s="73" t="s">
        <v>166</v>
      </c>
      <c r="B76" s="74" t="s">
        <v>397</v>
      </c>
      <c r="C76" s="317">
        <f>435991.01/185335.63*C8</f>
        <v>5769.124657379695</v>
      </c>
      <c r="D76" s="377" t="s">
        <v>942</v>
      </c>
      <c r="E76" s="378"/>
    </row>
    <row r="77" spans="1:5" ht="12.75">
      <c r="A77" s="71" t="s">
        <v>166</v>
      </c>
      <c r="B77" s="72" t="s">
        <v>416</v>
      </c>
      <c r="C77" s="317">
        <f>1082167/226605.83*C8</f>
        <v>11711.553717748568</v>
      </c>
      <c r="D77" s="379" t="s">
        <v>943</v>
      </c>
      <c r="E77" s="380"/>
    </row>
    <row r="78" spans="1:5" ht="25.5">
      <c r="A78" s="73" t="s">
        <v>166</v>
      </c>
      <c r="B78" s="72" t="s">
        <v>231</v>
      </c>
      <c r="C78" s="318">
        <f>845684.35/242356.05*D63</f>
        <v>8819.533057355078</v>
      </c>
      <c r="D78" s="381" t="s">
        <v>944</v>
      </c>
      <c r="E78" s="382"/>
    </row>
    <row r="79" spans="1:5" ht="12.75">
      <c r="A79" s="73" t="s">
        <v>166</v>
      </c>
      <c r="B79" s="74" t="s">
        <v>808</v>
      </c>
      <c r="C79" s="318">
        <f>642562.44/242356.05*D63</f>
        <v>6701.200845202749</v>
      </c>
      <c r="D79" s="371" t="s">
        <v>945</v>
      </c>
      <c r="E79" s="372"/>
    </row>
    <row r="80" spans="1:5" ht="12.75">
      <c r="A80" s="73" t="s">
        <v>166</v>
      </c>
      <c r="B80" s="74" t="s">
        <v>826</v>
      </c>
      <c r="C80" s="318">
        <f>51615/196822.43*D63</f>
        <v>662.8152721211703</v>
      </c>
      <c r="D80" s="371" t="s">
        <v>946</v>
      </c>
      <c r="E80" s="372"/>
    </row>
    <row r="81" spans="1:5" ht="12.75">
      <c r="A81" s="73" t="s">
        <v>166</v>
      </c>
      <c r="B81" s="74" t="s">
        <v>655</v>
      </c>
      <c r="C81" s="318">
        <f>129011.28/196822.43*D63</f>
        <v>1656.7014755381285</v>
      </c>
      <c r="D81" s="371" t="s">
        <v>947</v>
      </c>
      <c r="E81" s="372"/>
    </row>
    <row r="82" spans="1:5" ht="12.75">
      <c r="A82" s="73" t="s">
        <v>166</v>
      </c>
      <c r="B82" s="74" t="s">
        <v>656</v>
      </c>
      <c r="C82" s="318">
        <f>164128/196822.43*D63</f>
        <v>2107.6536856089015</v>
      </c>
      <c r="D82" s="373" t="s">
        <v>948</v>
      </c>
      <c r="E82" s="374"/>
    </row>
    <row r="83" spans="1:5" ht="13.5" thickBot="1">
      <c r="A83" s="75" t="s">
        <v>166</v>
      </c>
      <c r="B83" s="76" t="s">
        <v>809</v>
      </c>
      <c r="C83" s="319">
        <f>298900.58/196822.43*D63</f>
        <v>3838.339034580561</v>
      </c>
      <c r="D83" s="369" t="s">
        <v>949</v>
      </c>
      <c r="E83" s="370"/>
    </row>
    <row r="84" ht="13.5" thickBot="1"/>
    <row r="85" spans="2:5" ht="26.25" thickBot="1">
      <c r="B85" s="143"/>
      <c r="C85" s="159" t="s">
        <v>104</v>
      </c>
      <c r="D85" s="161" t="s">
        <v>306</v>
      </c>
      <c r="E85" s="160" t="s">
        <v>1115</v>
      </c>
    </row>
    <row r="86" spans="2:5" ht="13.5" thickBot="1">
      <c r="B86" s="363" t="s">
        <v>659</v>
      </c>
      <c r="C86" s="364"/>
      <c r="D86" s="364"/>
      <c r="E86" s="365"/>
    </row>
    <row r="87" spans="2:5" ht="12.75">
      <c r="B87" s="140" t="s">
        <v>285</v>
      </c>
      <c r="C87" s="212">
        <v>168281.7</v>
      </c>
      <c r="D87" s="212">
        <v>188764.56</v>
      </c>
      <c r="E87" s="213">
        <f>D87-C87</f>
        <v>20482.859999999986</v>
      </c>
    </row>
    <row r="88" spans="2:5" ht="13.5" thickBot="1">
      <c r="B88" s="115" t="s">
        <v>637</v>
      </c>
      <c r="C88" s="18">
        <v>94852.75</v>
      </c>
      <c r="D88" s="18">
        <v>105611.04</v>
      </c>
      <c r="E88" s="214">
        <f>D88-C88</f>
        <v>10758.289999999994</v>
      </c>
    </row>
    <row r="89" spans="2:5" ht="13.5" thickBot="1">
      <c r="B89" s="143"/>
      <c r="C89" s="167">
        <f>SUM(C87:C88)</f>
        <v>263134.45</v>
      </c>
      <c r="D89" s="167">
        <f>SUM(D87:D88)</f>
        <v>294375.6</v>
      </c>
      <c r="E89" s="167">
        <f>SUM(E87:E88)</f>
        <v>31241.14999999998</v>
      </c>
    </row>
    <row r="90" spans="2:5" ht="13.5" thickBot="1">
      <c r="B90" s="363" t="s">
        <v>660</v>
      </c>
      <c r="C90" s="364"/>
      <c r="D90" s="364"/>
      <c r="E90" s="365"/>
    </row>
    <row r="91" spans="2:5" ht="12.75">
      <c r="B91" s="140" t="s">
        <v>285</v>
      </c>
      <c r="C91" s="141">
        <v>241967.68</v>
      </c>
      <c r="D91" s="218">
        <v>249522.58</v>
      </c>
      <c r="E91" s="213">
        <f>D91-C91</f>
        <v>7554.899999999994</v>
      </c>
    </row>
    <row r="92" spans="2:5" ht="12.75">
      <c r="B92" s="115" t="s">
        <v>637</v>
      </c>
      <c r="C92" s="5">
        <v>120344.85</v>
      </c>
      <c r="D92" s="99">
        <v>123396.76</v>
      </c>
      <c r="E92" s="214">
        <f>D92-C92</f>
        <v>3051.909999999989</v>
      </c>
    </row>
    <row r="93" spans="2:5" ht="12.75">
      <c r="B93" s="115" t="s">
        <v>805</v>
      </c>
      <c r="C93" s="10">
        <v>0</v>
      </c>
      <c r="D93" s="98">
        <v>5576.14</v>
      </c>
      <c r="E93" s="214">
        <f>D93-C93</f>
        <v>5576.14</v>
      </c>
    </row>
    <row r="94" spans="2:5" ht="13.5" thickBot="1">
      <c r="B94" s="157" t="s">
        <v>817</v>
      </c>
      <c r="C94" s="225">
        <v>1840</v>
      </c>
      <c r="D94" s="227">
        <v>1840</v>
      </c>
      <c r="E94" s="216">
        <f>D94-C94</f>
        <v>0</v>
      </c>
    </row>
    <row r="95" spans="2:5" ht="13.5" thickBot="1">
      <c r="B95" s="187"/>
      <c r="C95" s="217">
        <f>SUM(C91:C94)</f>
        <v>364152.53</v>
      </c>
      <c r="D95" s="217">
        <f>SUM(D91:D94)</f>
        <v>380335.48</v>
      </c>
      <c r="E95" s="217">
        <f>SUM(E91:E93)</f>
        <v>16182.949999999983</v>
      </c>
    </row>
    <row r="96" spans="2:5" ht="13.5" thickBot="1">
      <c r="B96" s="363" t="s">
        <v>419</v>
      </c>
      <c r="C96" s="364"/>
      <c r="D96" s="364"/>
      <c r="E96" s="365"/>
    </row>
    <row r="97" spans="2:5" ht="12.75">
      <c r="B97" s="140" t="s">
        <v>285</v>
      </c>
      <c r="C97" s="141">
        <v>258155.24</v>
      </c>
      <c r="D97" s="155">
        <v>260046.48</v>
      </c>
      <c r="E97" s="242">
        <f>D97-C97</f>
        <v>1891.2400000000198</v>
      </c>
    </row>
    <row r="98" spans="2:5" ht="12.75">
      <c r="B98" s="115" t="s">
        <v>637</v>
      </c>
      <c r="C98" s="5">
        <v>127177.61</v>
      </c>
      <c r="D98" s="33">
        <v>126436.39</v>
      </c>
      <c r="E98" s="57">
        <f>D98-C98</f>
        <v>-741.2200000000012</v>
      </c>
    </row>
    <row r="99" spans="2:5" ht="12.75">
      <c r="B99" s="115" t="s">
        <v>805</v>
      </c>
      <c r="C99" s="67">
        <v>7300</v>
      </c>
      <c r="D99" s="83">
        <v>6795.96</v>
      </c>
      <c r="E99" s="128">
        <f>D99-C99</f>
        <v>-504.03999999999996</v>
      </c>
    </row>
    <row r="100" spans="2:5" ht="26.25" thickBot="1">
      <c r="B100" s="156" t="s">
        <v>119</v>
      </c>
      <c r="C100" s="229">
        <v>3200</v>
      </c>
      <c r="D100" s="229">
        <v>3200</v>
      </c>
      <c r="E100" s="219">
        <f>D100-C100</f>
        <v>0</v>
      </c>
    </row>
    <row r="101" spans="2:5" ht="13.5" thickBot="1">
      <c r="B101" s="187"/>
      <c r="C101" s="217">
        <f>SUM(C97:C100)</f>
        <v>395832.85</v>
      </c>
      <c r="D101" s="217">
        <f>SUM(D97:D100)</f>
        <v>396478.83</v>
      </c>
      <c r="E101" s="217">
        <f>SUM(E97:E100)</f>
        <v>645.9800000000187</v>
      </c>
    </row>
    <row r="102" spans="2:5" ht="13.5" thickBot="1">
      <c r="B102" s="363" t="s">
        <v>381</v>
      </c>
      <c r="C102" s="364"/>
      <c r="D102" s="364"/>
      <c r="E102" s="365"/>
    </row>
    <row r="103" spans="2:5" ht="12.75">
      <c r="B103" s="140" t="s">
        <v>285</v>
      </c>
      <c r="C103" s="141">
        <v>364047.42</v>
      </c>
      <c r="D103" s="155">
        <v>356297.88</v>
      </c>
      <c r="E103" s="213">
        <f aca="true" t="shared" si="1" ref="E103:E110">D103-C103</f>
        <v>-7749.539999999979</v>
      </c>
    </row>
    <row r="104" spans="2:5" ht="12.75">
      <c r="B104" s="115" t="s">
        <v>637</v>
      </c>
      <c r="C104" s="5">
        <v>174471.81</v>
      </c>
      <c r="D104" s="33">
        <v>173251.24</v>
      </c>
      <c r="E104" s="214">
        <f t="shared" si="1"/>
        <v>-1220.570000000007</v>
      </c>
    </row>
    <row r="105" spans="2:5" ht="12.75">
      <c r="B105" s="115" t="s">
        <v>633</v>
      </c>
      <c r="C105" s="65">
        <v>1952.21</v>
      </c>
      <c r="D105" s="70">
        <v>2131.12</v>
      </c>
      <c r="E105" s="214">
        <f t="shared" si="1"/>
        <v>178.90999999999985</v>
      </c>
    </row>
    <row r="106" spans="2:5" ht="12.75">
      <c r="B106" s="116" t="s">
        <v>364</v>
      </c>
      <c r="C106" s="94">
        <v>7708.61</v>
      </c>
      <c r="D106" s="83">
        <v>13172.38</v>
      </c>
      <c r="E106" s="214">
        <f t="shared" si="1"/>
        <v>5463.7699999999995</v>
      </c>
    </row>
    <row r="107" spans="2:5" ht="12.75">
      <c r="B107" s="278" t="s">
        <v>792</v>
      </c>
      <c r="C107" s="122">
        <v>6300</v>
      </c>
      <c r="D107" s="122">
        <v>6800</v>
      </c>
      <c r="E107" s="214">
        <f t="shared" si="1"/>
        <v>500</v>
      </c>
    </row>
    <row r="108" spans="2:5" ht="12.75">
      <c r="B108" s="115" t="s">
        <v>805</v>
      </c>
      <c r="C108" s="67">
        <v>19341.15</v>
      </c>
      <c r="D108" s="83">
        <v>14264.45</v>
      </c>
      <c r="E108" s="214">
        <f t="shared" si="1"/>
        <v>-5076.700000000001</v>
      </c>
    </row>
    <row r="109" spans="2:5" ht="12.75">
      <c r="B109" s="278" t="s">
        <v>279</v>
      </c>
      <c r="C109" s="122">
        <v>3078</v>
      </c>
      <c r="D109" s="122">
        <v>3078</v>
      </c>
      <c r="E109" s="214">
        <f t="shared" si="1"/>
        <v>0</v>
      </c>
    </row>
    <row r="110" spans="2:5" ht="13.5" thickBot="1">
      <c r="B110" s="157" t="s">
        <v>1200</v>
      </c>
      <c r="C110" s="229">
        <v>19547.39</v>
      </c>
      <c r="D110" s="229">
        <v>19547.39</v>
      </c>
      <c r="E110" s="216">
        <f t="shared" si="1"/>
        <v>0</v>
      </c>
    </row>
    <row r="111" spans="2:5" ht="13.5" thickBot="1">
      <c r="B111" s="187"/>
      <c r="C111" s="217">
        <f>SUM(C103:C110)</f>
        <v>596446.59</v>
      </c>
      <c r="D111" s="217">
        <f>SUM(D103:D110)</f>
        <v>588542.46</v>
      </c>
      <c r="E111" s="217">
        <f>SUM(E103:E110)</f>
        <v>-7904.129999999987</v>
      </c>
    </row>
    <row r="112" spans="2:5" ht="13.5" thickBot="1">
      <c r="B112" s="363" t="s">
        <v>87</v>
      </c>
      <c r="C112" s="364"/>
      <c r="D112" s="364"/>
      <c r="E112" s="365"/>
    </row>
    <row r="113" spans="2:5" ht="12.75">
      <c r="B113" s="140" t="s">
        <v>285</v>
      </c>
      <c r="C113" s="234">
        <v>284823.58</v>
      </c>
      <c r="D113" s="218">
        <v>299905.63</v>
      </c>
      <c r="E113" s="213">
        <f aca="true" t="shared" si="2" ref="E113:E120">D113-C113</f>
        <v>15082.049999999988</v>
      </c>
    </row>
    <row r="114" spans="2:5" ht="12.75">
      <c r="B114" s="115" t="s">
        <v>637</v>
      </c>
      <c r="C114" s="10">
        <v>141314.01</v>
      </c>
      <c r="D114" s="98">
        <v>149057.64</v>
      </c>
      <c r="E114" s="214">
        <f t="shared" si="2"/>
        <v>7743.630000000005</v>
      </c>
    </row>
    <row r="115" spans="2:5" ht="12.75">
      <c r="B115" s="115" t="s">
        <v>364</v>
      </c>
      <c r="C115" s="10">
        <v>85248.33</v>
      </c>
      <c r="D115" s="98">
        <v>84797.01</v>
      </c>
      <c r="E115" s="214">
        <f>D115-C115</f>
        <v>-451.320000000007</v>
      </c>
    </row>
    <row r="116" spans="2:5" ht="12.75">
      <c r="B116" s="115" t="s">
        <v>633</v>
      </c>
      <c r="C116" s="10">
        <v>11749.89</v>
      </c>
      <c r="D116" s="98">
        <v>13538.88</v>
      </c>
      <c r="E116" s="288">
        <f>D116-C116</f>
        <v>1788.9899999999998</v>
      </c>
    </row>
    <row r="117" spans="2:5" ht="12.75">
      <c r="B117" s="115" t="s">
        <v>1061</v>
      </c>
      <c r="C117" s="10">
        <f>3500+2400+3300+12312</f>
        <v>21512</v>
      </c>
      <c r="D117" s="98">
        <f>4200+2400+3600+12312</f>
        <v>22512</v>
      </c>
      <c r="E117" s="214">
        <f t="shared" si="2"/>
        <v>1000</v>
      </c>
    </row>
    <row r="118" spans="2:5" ht="12.75">
      <c r="B118" s="115" t="s">
        <v>805</v>
      </c>
      <c r="C118" s="10">
        <f>9410.21+4248</f>
        <v>13658.21</v>
      </c>
      <c r="D118" s="98">
        <f>9414.81+6563.33</f>
        <v>15978.14</v>
      </c>
      <c r="E118" s="288">
        <f t="shared" si="2"/>
        <v>2319.9300000000003</v>
      </c>
    </row>
    <row r="119" spans="2:5" ht="12.75">
      <c r="B119" s="269" t="s">
        <v>950</v>
      </c>
      <c r="C119" s="10">
        <v>21589</v>
      </c>
      <c r="D119" s="98">
        <v>22415.63</v>
      </c>
      <c r="E119" s="214">
        <f t="shared" si="2"/>
        <v>826.630000000001</v>
      </c>
    </row>
    <row r="120" spans="2:5" ht="13.5" thickBot="1">
      <c r="B120" s="362" t="s">
        <v>1088</v>
      </c>
      <c r="C120" s="225">
        <v>9630.53</v>
      </c>
      <c r="D120" s="227">
        <v>9630.53</v>
      </c>
      <c r="E120" s="216">
        <f t="shared" si="2"/>
        <v>0</v>
      </c>
    </row>
    <row r="121" spans="2:5" ht="13.5" thickBot="1">
      <c r="B121" s="187"/>
      <c r="C121" s="217">
        <f>SUM(C113:C120)</f>
        <v>589525.55</v>
      </c>
      <c r="D121" s="217">
        <f>SUM(D113:D120)</f>
        <v>617835.4600000001</v>
      </c>
      <c r="E121" s="217">
        <f>SUM(E113:E120)</f>
        <v>28309.909999999985</v>
      </c>
    </row>
    <row r="122" spans="2:5" ht="13.5" thickBot="1">
      <c r="B122" s="366" t="s">
        <v>379</v>
      </c>
      <c r="C122" s="367"/>
      <c r="D122" s="367"/>
      <c r="E122" s="368"/>
    </row>
    <row r="123" spans="2:5" ht="13.5" thickBot="1">
      <c r="B123" s="153"/>
      <c r="C123" s="175">
        <f>C89+C95+C101+C111+C121</f>
        <v>2209091.9699999997</v>
      </c>
      <c r="D123" s="175">
        <f>D89+D95+D101+D111+D121</f>
        <v>2277567.83</v>
      </c>
      <c r="E123" s="175">
        <f>E89+E95+E101+E111+E121</f>
        <v>68475.85999999997</v>
      </c>
    </row>
  </sheetData>
  <sheetProtection/>
  <mergeCells count="23">
    <mergeCell ref="A6:E6"/>
    <mergeCell ref="A21:D21"/>
    <mergeCell ref="A22:D22"/>
    <mergeCell ref="D26:E26"/>
    <mergeCell ref="A2:B2"/>
    <mergeCell ref="C2:E2"/>
    <mergeCell ref="C3:E3"/>
    <mergeCell ref="B4:E4"/>
    <mergeCell ref="D79:E79"/>
    <mergeCell ref="D80:E80"/>
    <mergeCell ref="D81:E81"/>
    <mergeCell ref="D82:E82"/>
    <mergeCell ref="D75:E75"/>
    <mergeCell ref="D76:E76"/>
    <mergeCell ref="D77:E77"/>
    <mergeCell ref="D78:E78"/>
    <mergeCell ref="B102:E102"/>
    <mergeCell ref="B122:E122"/>
    <mergeCell ref="B112:E112"/>
    <mergeCell ref="D83:E83"/>
    <mergeCell ref="B86:E86"/>
    <mergeCell ref="B90:E90"/>
    <mergeCell ref="B96:E96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6.875" style="0" customWidth="1"/>
    <col min="3" max="3" width="10.375" style="0" customWidth="1"/>
    <col min="4" max="5" width="12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1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695</v>
      </c>
      <c r="C7" s="26"/>
      <c r="D7" s="24"/>
    </row>
    <row r="8" spans="1:4" ht="15">
      <c r="A8" s="26"/>
      <c r="B8" s="27" t="s">
        <v>115</v>
      </c>
      <c r="C8" s="38">
        <v>1489.9</v>
      </c>
      <c r="D8" s="92" t="s">
        <v>116</v>
      </c>
    </row>
    <row r="9" spans="1:4" ht="15">
      <c r="A9" s="26"/>
      <c r="B9" s="27" t="s">
        <v>654</v>
      </c>
      <c r="C9" s="93">
        <v>833.5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160921.28</v>
      </c>
      <c r="D12" s="218">
        <v>175855.33</v>
      </c>
      <c r="E12" s="242">
        <f aca="true" t="shared" si="0" ref="E12:E18">D12-C12</f>
        <v>14934.049999999988</v>
      </c>
    </row>
    <row r="13" spans="1:5" ht="12.75">
      <c r="A13" s="84">
        <v>2</v>
      </c>
      <c r="B13" s="5" t="s">
        <v>637</v>
      </c>
      <c r="C13" s="10">
        <v>83392.03</v>
      </c>
      <c r="D13" s="98">
        <v>90548.19</v>
      </c>
      <c r="E13" s="57">
        <f t="shared" si="0"/>
        <v>7156.1600000000035</v>
      </c>
    </row>
    <row r="14" spans="1:5" ht="12.75">
      <c r="A14" s="84">
        <v>3</v>
      </c>
      <c r="B14" s="5" t="s">
        <v>364</v>
      </c>
      <c r="C14" s="10">
        <v>56036.27</v>
      </c>
      <c r="D14" s="98">
        <v>54063.46</v>
      </c>
      <c r="E14" s="57">
        <f t="shared" si="0"/>
        <v>-1972.8099999999977</v>
      </c>
    </row>
    <row r="15" spans="1:5" ht="12.75">
      <c r="A15" s="84">
        <v>4</v>
      </c>
      <c r="B15" s="5" t="s">
        <v>633</v>
      </c>
      <c r="C15" s="10">
        <v>24246.86</v>
      </c>
      <c r="D15" s="98">
        <v>27917.79</v>
      </c>
      <c r="E15" s="57">
        <f t="shared" si="0"/>
        <v>3670.9300000000003</v>
      </c>
    </row>
    <row r="16" spans="1:5" ht="12.75">
      <c r="A16" s="84">
        <v>5</v>
      </c>
      <c r="B16" s="5" t="s">
        <v>1061</v>
      </c>
      <c r="C16" s="10">
        <f>3500+2400+3600</f>
        <v>9500</v>
      </c>
      <c r="D16" s="98">
        <f>4200+2400+3300</f>
        <v>9900</v>
      </c>
      <c r="E16" s="57">
        <f t="shared" si="0"/>
        <v>400</v>
      </c>
    </row>
    <row r="17" spans="1:5" ht="12.75">
      <c r="A17" s="84">
        <v>6</v>
      </c>
      <c r="B17" s="5" t="s">
        <v>805</v>
      </c>
      <c r="C17" s="10">
        <f>70756.87+76483.56</f>
        <v>147240.43</v>
      </c>
      <c r="D17" s="98">
        <f>78532.48+76483.56</f>
        <v>155016.03999999998</v>
      </c>
      <c r="E17" s="57">
        <f t="shared" si="0"/>
        <v>7775.609999999986</v>
      </c>
    </row>
    <row r="18" spans="1:5" ht="12.75">
      <c r="A18" s="84">
        <v>7</v>
      </c>
      <c r="B18" s="105" t="s">
        <v>415</v>
      </c>
      <c r="C18" s="10">
        <v>2950.32</v>
      </c>
      <c r="D18" s="98">
        <v>3358.08</v>
      </c>
      <c r="E18" s="57">
        <f t="shared" si="0"/>
        <v>407.75999999999976</v>
      </c>
    </row>
    <row r="19" spans="1:5" ht="13.5" thickBot="1">
      <c r="A19" s="250"/>
      <c r="B19" s="251"/>
      <c r="C19" s="118">
        <f>SUM(C12:C18)</f>
        <v>484287.19</v>
      </c>
      <c r="D19" s="118">
        <f>SUM(D12:D18)</f>
        <v>516658.89</v>
      </c>
      <c r="E19" s="137">
        <f>SUM(E12:E18)</f>
        <v>32371.69999999998</v>
      </c>
    </row>
    <row r="20" spans="1:5" ht="12.75">
      <c r="A20" s="385" t="s">
        <v>793</v>
      </c>
      <c r="B20" s="386"/>
      <c r="C20" s="386"/>
      <c r="D20" s="386"/>
      <c r="E20" s="108">
        <f>E129</f>
        <v>47861.380000000034</v>
      </c>
    </row>
    <row r="21" spans="1:5" ht="12.75">
      <c r="A21" s="387" t="s">
        <v>794</v>
      </c>
      <c r="B21" s="384"/>
      <c r="C21" s="384"/>
      <c r="D21" s="384"/>
      <c r="E21" s="22">
        <v>83155.81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25.5">
      <c r="A24" s="86">
        <v>1</v>
      </c>
      <c r="B24" s="64" t="s">
        <v>960</v>
      </c>
      <c r="C24" s="80">
        <f>C64</f>
        <v>225235.37</v>
      </c>
      <c r="E24" s="29"/>
    </row>
    <row r="25" spans="1:5" ht="12.75">
      <c r="A25" s="91">
        <v>2</v>
      </c>
      <c r="B25" s="25" t="s">
        <v>344</v>
      </c>
      <c r="C25" s="102">
        <f>C72</f>
        <v>11696.23</v>
      </c>
      <c r="D25" s="388"/>
      <c r="E25" s="389"/>
    </row>
    <row r="26" spans="1:5" ht="12.75">
      <c r="A26" s="84">
        <v>3</v>
      </c>
      <c r="B26" s="9" t="s">
        <v>649</v>
      </c>
      <c r="C26" s="48">
        <v>3713.4</v>
      </c>
      <c r="E26" s="29"/>
    </row>
    <row r="27" spans="1:5" ht="12.75">
      <c r="A27" s="84">
        <v>4</v>
      </c>
      <c r="B27" s="9" t="s">
        <v>122</v>
      </c>
      <c r="C27" s="48">
        <f>(C8*0.55*12)</f>
        <v>9833.340000000002</v>
      </c>
      <c r="E27" s="29"/>
    </row>
    <row r="28" spans="1:5" ht="12.75">
      <c r="A28" s="84">
        <v>5</v>
      </c>
      <c r="B28" s="9" t="s">
        <v>658</v>
      </c>
      <c r="C28" s="79">
        <v>24434.28</v>
      </c>
      <c r="E28" s="29"/>
    </row>
    <row r="29" spans="1:5" ht="12.75">
      <c r="A29" s="91">
        <v>6</v>
      </c>
      <c r="B29" s="25" t="s">
        <v>61</v>
      </c>
      <c r="C29" s="96">
        <v>2400</v>
      </c>
      <c r="E29" s="29"/>
    </row>
    <row r="30" spans="1:5" ht="12.75">
      <c r="A30" s="91">
        <v>7</v>
      </c>
      <c r="B30" s="346" t="s">
        <v>26</v>
      </c>
      <c r="C30" s="96">
        <v>600</v>
      </c>
      <c r="E30" s="29"/>
    </row>
    <row r="31" spans="1:5" ht="25.5">
      <c r="A31" s="91">
        <v>8</v>
      </c>
      <c r="B31" s="25" t="s">
        <v>60</v>
      </c>
      <c r="C31" s="96">
        <v>-2300</v>
      </c>
      <c r="E31" s="29"/>
    </row>
    <row r="32" spans="1:5" ht="25.5">
      <c r="A32" s="91">
        <v>9</v>
      </c>
      <c r="B32" s="25" t="s">
        <v>327</v>
      </c>
      <c r="C32" s="96">
        <v>2714.32</v>
      </c>
      <c r="E32" s="29"/>
    </row>
    <row r="33" spans="1:5" ht="12.75">
      <c r="A33" s="91">
        <v>10</v>
      </c>
      <c r="B33" s="25" t="s">
        <v>1175</v>
      </c>
      <c r="C33" s="349">
        <v>3096.02</v>
      </c>
      <c r="E33" s="29"/>
    </row>
    <row r="34" spans="1:5" ht="25.5">
      <c r="A34" s="91">
        <v>11</v>
      </c>
      <c r="B34" s="25" t="s">
        <v>958</v>
      </c>
      <c r="C34" s="96">
        <v>16200</v>
      </c>
      <c r="E34" s="29"/>
    </row>
    <row r="35" spans="1:5" ht="12.75">
      <c r="A35" s="91">
        <v>12</v>
      </c>
      <c r="B35" s="25" t="s">
        <v>959</v>
      </c>
      <c r="C35" s="96">
        <v>3663.2</v>
      </c>
      <c r="E35" s="29"/>
    </row>
    <row r="36" spans="1:5" ht="12.75">
      <c r="A36" s="91">
        <v>13</v>
      </c>
      <c r="B36" s="25" t="s">
        <v>363</v>
      </c>
      <c r="C36" s="79">
        <v>135.01</v>
      </c>
      <c r="E36" s="29"/>
    </row>
    <row r="37" spans="1:3" ht="12.75">
      <c r="A37" s="50"/>
      <c r="B37" s="20" t="s">
        <v>629</v>
      </c>
      <c r="C37" s="51">
        <f>SUM(C24:C36)</f>
        <v>301421.17000000004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(C19)*15%</f>
        <v>72643.0785</v>
      </c>
    </row>
    <row r="40" spans="1:3" ht="12.75">
      <c r="A40" s="84">
        <v>2</v>
      </c>
      <c r="B40" s="9" t="s">
        <v>813</v>
      </c>
      <c r="C40" s="48">
        <f>C79</f>
        <v>3226.9085629946067</v>
      </c>
    </row>
    <row r="41" spans="1:3" ht="12.75">
      <c r="A41" s="84">
        <v>3</v>
      </c>
      <c r="B41" s="9" t="s">
        <v>653</v>
      </c>
      <c r="C41" s="48">
        <f>C80</f>
        <v>3504.9008428600587</v>
      </c>
    </row>
    <row r="42" spans="1:3" ht="12.75">
      <c r="A42" s="84">
        <v>4</v>
      </c>
      <c r="B42" s="9" t="s">
        <v>1114</v>
      </c>
      <c r="C42" s="52">
        <f>C81</f>
        <v>7115.088845242861</v>
      </c>
    </row>
    <row r="43" spans="1:3" ht="12.75">
      <c r="A43" s="84">
        <v>5</v>
      </c>
      <c r="B43" s="9" t="s">
        <v>162</v>
      </c>
      <c r="C43" s="52">
        <f>C82</f>
        <v>8107.3404967196</v>
      </c>
    </row>
    <row r="44" spans="1:3" ht="12.75">
      <c r="A44" s="84">
        <v>6</v>
      </c>
      <c r="B44" s="9" t="s">
        <v>1051</v>
      </c>
      <c r="C44" s="48">
        <f>C83+C85+C86+C87+C84</f>
        <v>13758.122548504009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108355.43979632114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C19*2%</f>
        <v>9685.7438</v>
      </c>
    </row>
    <row r="52" spans="1:3" ht="12.75">
      <c r="A52" s="84">
        <v>2</v>
      </c>
      <c r="B52" s="9" t="s">
        <v>391</v>
      </c>
      <c r="C52" s="48">
        <f>C53</f>
        <v>28476.086772</v>
      </c>
    </row>
    <row r="53" spans="1:4" ht="12.75">
      <c r="A53" s="49"/>
      <c r="B53" s="5" t="s">
        <v>334</v>
      </c>
      <c r="C53" s="41">
        <f>(C19-C51)*6%</f>
        <v>28476.086772</v>
      </c>
      <c r="D53" s="19"/>
    </row>
    <row r="54" spans="1:3" ht="13.5" thickBot="1">
      <c r="A54" s="54"/>
      <c r="B54" s="55" t="s">
        <v>967</v>
      </c>
      <c r="C54" s="56">
        <f>C51+C52</f>
        <v>38161.830572</v>
      </c>
    </row>
    <row r="55" spans="1:3" ht="12.75">
      <c r="A55" s="23"/>
      <c r="B55" s="4" t="s">
        <v>288</v>
      </c>
      <c r="C55" s="11">
        <f>C37+C49+C54</f>
        <v>447938.4403683212</v>
      </c>
    </row>
    <row r="56" spans="1:3" ht="12.75">
      <c r="A56" s="23"/>
      <c r="B56" s="77"/>
      <c r="C56" s="1"/>
    </row>
    <row r="57" spans="1:3" ht="15">
      <c r="A57" s="23"/>
      <c r="B57" s="14" t="s">
        <v>975</v>
      </c>
      <c r="C57" s="11">
        <v>62484.91</v>
      </c>
    </row>
    <row r="58" spans="1:3" ht="15">
      <c r="A58" s="23"/>
      <c r="B58" s="14" t="s">
        <v>94</v>
      </c>
      <c r="C58" s="11">
        <f>C57+C19-C55</f>
        <v>98833.65963167878</v>
      </c>
    </row>
    <row r="59" ht="12.75">
      <c r="B59" s="1" t="s">
        <v>85</v>
      </c>
    </row>
    <row r="60" ht="16.5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951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C8+C9</f>
        <v>2323.4</v>
      </c>
      <c r="E63" t="s">
        <v>116</v>
      </c>
    </row>
    <row r="64" spans="1:5" ht="12.75">
      <c r="A64" s="60" t="s">
        <v>218</v>
      </c>
      <c r="B64" s="39" t="s">
        <v>832</v>
      </c>
      <c r="C64" s="47">
        <v>225235.37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7578</v>
      </c>
      <c r="D66" s="15"/>
      <c r="E66" s="15"/>
    </row>
    <row r="67" spans="1:5" ht="12.75">
      <c r="A67" s="62" t="s">
        <v>166</v>
      </c>
      <c r="B67" s="6" t="s">
        <v>956</v>
      </c>
      <c r="C67" s="41">
        <v>15194.79</v>
      </c>
      <c r="D67" s="15"/>
      <c r="E67" s="15"/>
    </row>
    <row r="68" spans="1:5" ht="12.75">
      <c r="A68" s="62" t="s">
        <v>166</v>
      </c>
      <c r="B68" s="6" t="s">
        <v>955</v>
      </c>
      <c r="C68" s="41">
        <v>8263.23</v>
      </c>
      <c r="D68" s="15"/>
      <c r="E68" s="15"/>
    </row>
    <row r="69" spans="1:5" ht="12.75">
      <c r="A69" s="62" t="s">
        <v>166</v>
      </c>
      <c r="B69" s="6" t="s">
        <v>201</v>
      </c>
      <c r="C69" s="41">
        <v>3267</v>
      </c>
      <c r="D69" s="15"/>
      <c r="E69" s="15"/>
    </row>
    <row r="70" spans="1:5" ht="12.75">
      <c r="A70" s="62" t="s">
        <v>166</v>
      </c>
      <c r="B70" s="6" t="s">
        <v>220</v>
      </c>
      <c r="C70" s="41">
        <v>79858.29</v>
      </c>
      <c r="D70" s="15"/>
      <c r="E70" s="15"/>
    </row>
    <row r="71" spans="1:5" ht="13.5" thickBot="1">
      <c r="A71" s="63" t="s">
        <v>166</v>
      </c>
      <c r="B71" s="42" t="s">
        <v>818</v>
      </c>
      <c r="C71" s="46">
        <v>7906.53</v>
      </c>
      <c r="D71" s="15"/>
      <c r="E71" s="15"/>
    </row>
    <row r="72" spans="1:5" ht="12.75">
      <c r="A72" s="60" t="s">
        <v>328</v>
      </c>
      <c r="B72" s="39" t="s">
        <v>343</v>
      </c>
      <c r="C72" s="47">
        <v>11696.23</v>
      </c>
      <c r="D72" s="15"/>
      <c r="E72" s="12"/>
    </row>
    <row r="73" spans="1:5" ht="12.75">
      <c r="A73" s="61"/>
      <c r="B73" s="6" t="s">
        <v>118</v>
      </c>
      <c r="C73" s="41"/>
      <c r="D73" s="15"/>
      <c r="E73" s="12"/>
    </row>
    <row r="74" spans="1:5" ht="12.75">
      <c r="A74" s="62" t="s">
        <v>166</v>
      </c>
      <c r="B74" s="6" t="s">
        <v>380</v>
      </c>
      <c r="C74" s="41">
        <v>190</v>
      </c>
      <c r="D74" s="15"/>
      <c r="E74" s="12"/>
    </row>
    <row r="75" spans="1:5" ht="12.75">
      <c r="A75" s="62" t="s">
        <v>166</v>
      </c>
      <c r="B75" s="6" t="s">
        <v>957</v>
      </c>
      <c r="C75" s="41">
        <v>4355.92</v>
      </c>
      <c r="D75" s="15"/>
      <c r="E75" s="12"/>
    </row>
    <row r="76" spans="1:5" ht="13.5" thickBot="1">
      <c r="A76" s="63" t="s">
        <v>166</v>
      </c>
      <c r="B76" s="42" t="s">
        <v>818</v>
      </c>
      <c r="C76" s="46">
        <v>85.19</v>
      </c>
      <c r="D76" s="15"/>
      <c r="E76" s="15"/>
    </row>
    <row r="77" spans="1:5" ht="12.75">
      <c r="A77" s="300" t="s">
        <v>787</v>
      </c>
      <c r="B77" s="97" t="s">
        <v>1050</v>
      </c>
      <c r="C77" s="82">
        <f>C78+C79+C81+C80+C82+C83+C85+C86+C87+C84</f>
        <v>108355.43979632114</v>
      </c>
      <c r="D77" s="15"/>
      <c r="E77" s="12"/>
    </row>
    <row r="78" spans="1:5" ht="13.5" thickBot="1">
      <c r="A78" s="40" t="s">
        <v>166</v>
      </c>
      <c r="B78" s="6" t="s">
        <v>227</v>
      </c>
      <c r="C78" s="41">
        <f>C39</f>
        <v>72643.0785</v>
      </c>
      <c r="D78" s="15"/>
      <c r="E78" s="12"/>
    </row>
    <row r="79" spans="1:5" ht="12.75">
      <c r="A79" s="40" t="s">
        <v>166</v>
      </c>
      <c r="B79" s="6" t="s">
        <v>370</v>
      </c>
      <c r="C79" s="317">
        <f>401410.25/185335.63*C8</f>
        <v>3226.9085629946067</v>
      </c>
      <c r="D79" s="375" t="s">
        <v>952</v>
      </c>
      <c r="E79" s="376"/>
    </row>
    <row r="80" spans="1:5" ht="12.75">
      <c r="A80" s="73" t="s">
        <v>166</v>
      </c>
      <c r="B80" s="74" t="s">
        <v>397</v>
      </c>
      <c r="C80" s="317">
        <f>435991.01/185335.63*C8</f>
        <v>3504.9008428600587</v>
      </c>
      <c r="D80" s="377" t="s">
        <v>953</v>
      </c>
      <c r="E80" s="378"/>
    </row>
    <row r="81" spans="1:5" ht="12.75">
      <c r="A81" s="71" t="s">
        <v>166</v>
      </c>
      <c r="B81" s="72" t="s">
        <v>416</v>
      </c>
      <c r="C81" s="317">
        <f>1082167/226605.83*C8</f>
        <v>7115.088845242861</v>
      </c>
      <c r="D81" s="379" t="s">
        <v>954</v>
      </c>
      <c r="E81" s="380"/>
    </row>
    <row r="82" spans="1:5" ht="25.5">
      <c r="A82" s="73" t="s">
        <v>166</v>
      </c>
      <c r="B82" s="72" t="s">
        <v>231</v>
      </c>
      <c r="C82" s="318">
        <f>845684.35/242356.05*D63</f>
        <v>8107.3404967196</v>
      </c>
      <c r="D82" s="381" t="s">
        <v>961</v>
      </c>
      <c r="E82" s="382"/>
    </row>
    <row r="83" spans="1:5" ht="12.75">
      <c r="A83" s="73" t="s">
        <v>166</v>
      </c>
      <c r="B83" s="74" t="s">
        <v>808</v>
      </c>
      <c r="C83" s="318">
        <f>642562.44/242356.05*D63</f>
        <v>6160.067277445724</v>
      </c>
      <c r="D83" s="371" t="s">
        <v>962</v>
      </c>
      <c r="E83" s="372"/>
    </row>
    <row r="84" spans="1:5" ht="12.75">
      <c r="A84" s="73" t="s">
        <v>166</v>
      </c>
      <c r="B84" s="74" t="s">
        <v>826</v>
      </c>
      <c r="C84" s="318">
        <f>51615/196822.43*D63</f>
        <v>609.2917915910296</v>
      </c>
      <c r="D84" s="371" t="s">
        <v>730</v>
      </c>
      <c r="E84" s="372"/>
    </row>
    <row r="85" spans="1:5" ht="12.75">
      <c r="A85" s="73" t="s">
        <v>166</v>
      </c>
      <c r="B85" s="74" t="s">
        <v>655</v>
      </c>
      <c r="C85" s="318">
        <f>129011.28/196822.43*D63</f>
        <v>1522.9199637053562</v>
      </c>
      <c r="D85" s="371" t="s">
        <v>731</v>
      </c>
      <c r="E85" s="372"/>
    </row>
    <row r="86" spans="1:5" ht="12.75">
      <c r="A86" s="73" t="s">
        <v>166</v>
      </c>
      <c r="B86" s="74" t="s">
        <v>656</v>
      </c>
      <c r="C86" s="318">
        <f>164128/196822.43*D63</f>
        <v>1937.4570022329265</v>
      </c>
      <c r="D86" s="373" t="s">
        <v>732</v>
      </c>
      <c r="E86" s="374"/>
    </row>
    <row r="87" spans="1:5" ht="13.5" thickBot="1">
      <c r="A87" s="75" t="s">
        <v>166</v>
      </c>
      <c r="B87" s="76" t="s">
        <v>809</v>
      </c>
      <c r="C87" s="319">
        <f>298900.58/196822.43*D63</f>
        <v>3528.3865135289716</v>
      </c>
      <c r="D87" s="369" t="s">
        <v>733</v>
      </c>
      <c r="E87" s="370"/>
    </row>
    <row r="88" ht="13.5" thickBot="1"/>
    <row r="89" spans="2:5" ht="24.75" thickBot="1">
      <c r="B89" s="143"/>
      <c r="C89" s="205" t="s">
        <v>104</v>
      </c>
      <c r="D89" s="236" t="s">
        <v>306</v>
      </c>
      <c r="E89" s="130" t="s">
        <v>305</v>
      </c>
    </row>
    <row r="90" spans="2:5" ht="13.5" thickBot="1">
      <c r="B90" s="363" t="s">
        <v>970</v>
      </c>
      <c r="C90" s="364"/>
      <c r="D90" s="364"/>
      <c r="E90" s="365"/>
    </row>
    <row r="91" spans="2:5" ht="12.75">
      <c r="B91" s="140" t="s">
        <v>285</v>
      </c>
      <c r="C91" s="234">
        <v>104716.22</v>
      </c>
      <c r="D91" s="155">
        <v>113371.78</v>
      </c>
      <c r="E91" s="44">
        <f>D91-C91</f>
        <v>8655.559999999998</v>
      </c>
    </row>
    <row r="92" spans="2:5" ht="12.75">
      <c r="B92" s="115" t="s">
        <v>637</v>
      </c>
      <c r="C92" s="10">
        <v>58047.79</v>
      </c>
      <c r="D92" s="33">
        <v>62759.38</v>
      </c>
      <c r="E92" s="45">
        <f>D92-C92</f>
        <v>4711.5899999999965</v>
      </c>
    </row>
    <row r="93" spans="2:5" ht="12.75">
      <c r="B93" s="116" t="s">
        <v>232</v>
      </c>
      <c r="C93" s="67">
        <v>49657.67</v>
      </c>
      <c r="D93" s="83">
        <v>50931.8</v>
      </c>
      <c r="E93" s="45">
        <f>D93-C93</f>
        <v>1274.1300000000047</v>
      </c>
    </row>
    <row r="94" spans="2:5" ht="13.5" thickBot="1">
      <c r="B94" s="157" t="s">
        <v>799</v>
      </c>
      <c r="C94" s="225">
        <v>176.93</v>
      </c>
      <c r="D94" s="245">
        <v>474.44</v>
      </c>
      <c r="E94" s="46">
        <f>D94-C94</f>
        <v>297.51</v>
      </c>
    </row>
    <row r="95" spans="2:5" ht="13.5" thickBot="1">
      <c r="B95" s="230"/>
      <c r="C95" s="231">
        <f>SUM(C91:C94)</f>
        <v>212598.61</v>
      </c>
      <c r="D95" s="232">
        <f>SUM(D91:D94)</f>
        <v>227537.40000000002</v>
      </c>
      <c r="E95" s="233">
        <f>D95-C95</f>
        <v>14938.790000000037</v>
      </c>
    </row>
    <row r="96" spans="2:5" ht="13.5" thickBot="1">
      <c r="B96" s="363" t="s">
        <v>1054</v>
      </c>
      <c r="C96" s="364"/>
      <c r="D96" s="364"/>
      <c r="E96" s="365"/>
    </row>
    <row r="97" spans="2:5" ht="12.75">
      <c r="B97" s="140" t="s">
        <v>285</v>
      </c>
      <c r="C97" s="234">
        <v>142141.02</v>
      </c>
      <c r="D97" s="155">
        <v>149794.92</v>
      </c>
      <c r="E97" s="44">
        <f>D97-C97</f>
        <v>7653.900000000023</v>
      </c>
    </row>
    <row r="98" spans="2:5" ht="12.75">
      <c r="B98" s="115" t="s">
        <v>637</v>
      </c>
      <c r="C98" s="10">
        <v>70385.57</v>
      </c>
      <c r="D98" s="34">
        <v>73646.46</v>
      </c>
      <c r="E98" s="45">
        <f>D98-C98</f>
        <v>3260.8899999999994</v>
      </c>
    </row>
    <row r="99" spans="2:5" ht="12.75">
      <c r="B99" s="116" t="s">
        <v>232</v>
      </c>
      <c r="C99" s="67">
        <v>189986.83</v>
      </c>
      <c r="D99" s="83">
        <v>184315.81</v>
      </c>
      <c r="E99" s="45">
        <f>D99-C99</f>
        <v>-5671.0199999999895</v>
      </c>
    </row>
    <row r="100" spans="2:5" ht="13.5" thickBot="1">
      <c r="B100" s="157" t="s">
        <v>633</v>
      </c>
      <c r="C100" s="247">
        <v>7142.22</v>
      </c>
      <c r="D100" s="226">
        <v>7945.96</v>
      </c>
      <c r="E100" s="46">
        <f>D100-C100</f>
        <v>803.7399999999998</v>
      </c>
    </row>
    <row r="101" spans="2:5" ht="13.5" thickBot="1">
      <c r="B101" s="153"/>
      <c r="C101" s="152">
        <f>SUM(C97:C100)</f>
        <v>409655.63999999996</v>
      </c>
      <c r="D101" s="138">
        <f>SUM(D97:D100)</f>
        <v>415703.15</v>
      </c>
      <c r="E101" s="206">
        <f>SUM(E97:E100)</f>
        <v>6047.510000000033</v>
      </c>
    </row>
    <row r="102" spans="2:5" ht="13.5" thickBot="1">
      <c r="B102" s="363" t="s">
        <v>168</v>
      </c>
      <c r="C102" s="364"/>
      <c r="D102" s="364"/>
      <c r="E102" s="365"/>
    </row>
    <row r="103" spans="2:5" ht="12.75">
      <c r="B103" s="140" t="s">
        <v>285</v>
      </c>
      <c r="C103" s="234">
        <v>152833.87</v>
      </c>
      <c r="D103" s="155">
        <v>155535.12</v>
      </c>
      <c r="E103" s="253">
        <f>D103-C103</f>
        <v>2701.25</v>
      </c>
    </row>
    <row r="104" spans="2:5" ht="12.75">
      <c r="B104" s="115" t="s">
        <v>637</v>
      </c>
      <c r="C104" s="10">
        <v>74398.1</v>
      </c>
      <c r="D104" s="34">
        <v>75622.25</v>
      </c>
      <c r="E104" s="53">
        <f>D104-C104</f>
        <v>1224.1499999999942</v>
      </c>
    </row>
    <row r="105" spans="2:5" ht="12.75">
      <c r="B105" s="116" t="s">
        <v>232</v>
      </c>
      <c r="C105" s="67">
        <v>132301.51</v>
      </c>
      <c r="D105" s="83">
        <v>141582.36</v>
      </c>
      <c r="E105" s="53">
        <f>D105-C105</f>
        <v>9280.849999999977</v>
      </c>
    </row>
    <row r="106" spans="2:5" ht="25.5">
      <c r="B106" s="278" t="s">
        <v>119</v>
      </c>
      <c r="C106" s="122">
        <v>3200</v>
      </c>
      <c r="D106" s="122">
        <v>3200</v>
      </c>
      <c r="E106" s="81">
        <f>D106-C106</f>
        <v>0</v>
      </c>
    </row>
    <row r="107" spans="2:5" ht="13.5" thickBot="1">
      <c r="B107" s="157" t="s">
        <v>633</v>
      </c>
      <c r="C107" s="247">
        <v>8660.83</v>
      </c>
      <c r="D107" s="226">
        <v>8423.2</v>
      </c>
      <c r="E107" s="262">
        <f>D107-C107</f>
        <v>-237.6299999999992</v>
      </c>
    </row>
    <row r="108" spans="2:5" ht="13.5" thickBot="1">
      <c r="B108" s="153"/>
      <c r="C108" s="152">
        <f>SUM(C103:C107)</f>
        <v>371394.31</v>
      </c>
      <c r="D108" s="138">
        <f>SUM(D103:D107)</f>
        <v>384362.93</v>
      </c>
      <c r="E108" s="206">
        <f>SUM(E103:E107)</f>
        <v>12968.619999999972</v>
      </c>
    </row>
    <row r="109" spans="2:5" ht="13.5" thickBot="1">
      <c r="B109" s="363" t="s">
        <v>795</v>
      </c>
      <c r="C109" s="364"/>
      <c r="D109" s="364"/>
      <c r="E109" s="365"/>
    </row>
    <row r="110" spans="2:5" ht="12.75">
      <c r="B110" s="140" t="s">
        <v>285</v>
      </c>
      <c r="C110" s="234">
        <v>209901.76</v>
      </c>
      <c r="D110" s="155">
        <v>201592.14</v>
      </c>
      <c r="E110" s="253">
        <f aca="true" t="shared" si="1" ref="E110:E117">D110-C110</f>
        <v>-8309.619999999995</v>
      </c>
    </row>
    <row r="111" spans="2:5" ht="12.75">
      <c r="B111" s="115" t="s">
        <v>637</v>
      </c>
      <c r="C111" s="10">
        <v>102335.36</v>
      </c>
      <c r="D111" s="34">
        <v>98026.24</v>
      </c>
      <c r="E111" s="53">
        <f t="shared" si="1"/>
        <v>-4309.119999999995</v>
      </c>
    </row>
    <row r="112" spans="2:5" ht="12.75">
      <c r="B112" s="116" t="s">
        <v>232</v>
      </c>
      <c r="C112" s="67">
        <v>180805.13</v>
      </c>
      <c r="D112" s="83">
        <v>170184.1</v>
      </c>
      <c r="E112" s="53">
        <f t="shared" si="1"/>
        <v>-10621.029999999999</v>
      </c>
    </row>
    <row r="113" spans="2:5" ht="25.5">
      <c r="B113" s="278" t="s">
        <v>119</v>
      </c>
      <c r="C113" s="122">
        <v>3850</v>
      </c>
      <c r="D113" s="122">
        <v>3850</v>
      </c>
      <c r="E113" s="81">
        <f t="shared" si="1"/>
        <v>0</v>
      </c>
    </row>
    <row r="114" spans="2:5" ht="12.75">
      <c r="B114" s="278" t="s">
        <v>811</v>
      </c>
      <c r="C114" s="122">
        <v>2378.19</v>
      </c>
      <c r="D114" s="122">
        <v>7295.93</v>
      </c>
      <c r="E114" s="53">
        <f t="shared" si="1"/>
        <v>4917.74</v>
      </c>
    </row>
    <row r="115" spans="2:5" ht="12.75">
      <c r="B115" s="278" t="s">
        <v>792</v>
      </c>
      <c r="C115" s="122">
        <v>2100</v>
      </c>
      <c r="D115" s="122">
        <v>2600</v>
      </c>
      <c r="E115" s="53">
        <f t="shared" si="1"/>
        <v>500</v>
      </c>
    </row>
    <row r="116" spans="2:5" ht="12.75">
      <c r="B116" s="116" t="s">
        <v>633</v>
      </c>
      <c r="C116" s="67">
        <v>11578.03</v>
      </c>
      <c r="D116" s="83">
        <v>10934.82</v>
      </c>
      <c r="E116" s="81">
        <f t="shared" si="1"/>
        <v>-643.210000000001</v>
      </c>
    </row>
    <row r="117" spans="2:5" ht="13.5" thickBot="1">
      <c r="B117" s="157" t="s">
        <v>1200</v>
      </c>
      <c r="C117" s="225">
        <v>21262.09</v>
      </c>
      <c r="D117" s="226">
        <v>21262.09</v>
      </c>
      <c r="E117" s="262">
        <f t="shared" si="1"/>
        <v>0</v>
      </c>
    </row>
    <row r="118" spans="2:5" ht="13.5" thickBot="1">
      <c r="B118" s="153"/>
      <c r="C118" s="152">
        <f>SUM(C110:C117)</f>
        <v>534210.56</v>
      </c>
      <c r="D118" s="138">
        <f>SUM(D110:D117)</f>
        <v>515745.32</v>
      </c>
      <c r="E118" s="206">
        <f>SUM(E110:E117)</f>
        <v>-18465.23999999999</v>
      </c>
    </row>
    <row r="119" spans="2:5" ht="13.5" thickBot="1">
      <c r="B119" s="363" t="s">
        <v>87</v>
      </c>
      <c r="C119" s="364"/>
      <c r="D119" s="364"/>
      <c r="E119" s="365"/>
    </row>
    <row r="120" spans="2:5" ht="12.75">
      <c r="B120" s="140" t="s">
        <v>285</v>
      </c>
      <c r="C120" s="234">
        <v>160921.28</v>
      </c>
      <c r="D120" s="218">
        <v>175855.33</v>
      </c>
      <c r="E120" s="253">
        <f aca="true" t="shared" si="2" ref="E120:E126">D120-C120</f>
        <v>14934.049999999988</v>
      </c>
    </row>
    <row r="121" spans="2:5" ht="12.75">
      <c r="B121" s="115" t="s">
        <v>637</v>
      </c>
      <c r="C121" s="10">
        <v>83392.03</v>
      </c>
      <c r="D121" s="98">
        <v>90548.19</v>
      </c>
      <c r="E121" s="53">
        <f t="shared" si="2"/>
        <v>7156.1600000000035</v>
      </c>
    </row>
    <row r="122" spans="2:5" ht="12.75">
      <c r="B122" s="115" t="s">
        <v>364</v>
      </c>
      <c r="C122" s="10">
        <v>56036.27</v>
      </c>
      <c r="D122" s="98">
        <v>54063.46</v>
      </c>
      <c r="E122" s="53">
        <f t="shared" si="2"/>
        <v>-1972.8099999999977</v>
      </c>
    </row>
    <row r="123" spans="2:5" ht="12.75">
      <c r="B123" s="115" t="s">
        <v>633</v>
      </c>
      <c r="C123" s="10">
        <v>24246.86</v>
      </c>
      <c r="D123" s="98">
        <v>27917.79</v>
      </c>
      <c r="E123" s="53">
        <f t="shared" si="2"/>
        <v>3670.9300000000003</v>
      </c>
    </row>
    <row r="124" spans="2:5" ht="12.75" customHeight="1">
      <c r="B124" s="115" t="s">
        <v>1061</v>
      </c>
      <c r="C124" s="10">
        <f>3500+2400+3600</f>
        <v>9500</v>
      </c>
      <c r="D124" s="98">
        <f>4200+2400+3300</f>
        <v>9900</v>
      </c>
      <c r="E124" s="53">
        <f t="shared" si="2"/>
        <v>400</v>
      </c>
    </row>
    <row r="125" spans="2:5" ht="12.75" customHeight="1">
      <c r="B125" s="115" t="s">
        <v>805</v>
      </c>
      <c r="C125" s="10">
        <f>70756.87+76483.56</f>
        <v>147240.43</v>
      </c>
      <c r="D125" s="98">
        <f>78532.48+76483.56</f>
        <v>155016.03999999998</v>
      </c>
      <c r="E125" s="53">
        <f t="shared" si="2"/>
        <v>7775.609999999986</v>
      </c>
    </row>
    <row r="126" spans="2:5" ht="13.5" thickBot="1">
      <c r="B126" s="266" t="s">
        <v>415</v>
      </c>
      <c r="C126" s="225">
        <v>2950.32</v>
      </c>
      <c r="D126" s="227">
        <v>3358.08</v>
      </c>
      <c r="E126" s="262">
        <f t="shared" si="2"/>
        <v>407.75999999999976</v>
      </c>
    </row>
    <row r="127" spans="2:5" ht="13.5" thickBot="1">
      <c r="B127" s="177"/>
      <c r="C127" s="217">
        <f>SUM(C120:C126)</f>
        <v>484287.19</v>
      </c>
      <c r="D127" s="217">
        <f>SUM(D120:D126)</f>
        <v>516658.89</v>
      </c>
      <c r="E127" s="353">
        <f>SUM(E120:E126)</f>
        <v>32371.69999999998</v>
      </c>
    </row>
    <row r="128" spans="2:5" ht="13.5" thickBot="1">
      <c r="B128" s="366" t="s">
        <v>379</v>
      </c>
      <c r="C128" s="367"/>
      <c r="D128" s="367"/>
      <c r="E128" s="368"/>
    </row>
    <row r="129" spans="2:5" ht="13.5" thickBot="1">
      <c r="B129" s="153"/>
      <c r="C129" s="117">
        <f>C95+C101+C108+C118+C127</f>
        <v>2012146.31</v>
      </c>
      <c r="D129" s="117">
        <f>D95+D101+D108+D118+D127</f>
        <v>2060007.69</v>
      </c>
      <c r="E129" s="117">
        <f>E95+E101+E108+E118+E127</f>
        <v>47861.380000000034</v>
      </c>
    </row>
  </sheetData>
  <sheetProtection/>
  <mergeCells count="23">
    <mergeCell ref="A6:E6"/>
    <mergeCell ref="A20:D20"/>
    <mergeCell ref="A21:D21"/>
    <mergeCell ref="D25:E25"/>
    <mergeCell ref="A2:B2"/>
    <mergeCell ref="C2:E2"/>
    <mergeCell ref="C3:E3"/>
    <mergeCell ref="B4:E4"/>
    <mergeCell ref="D83:E83"/>
    <mergeCell ref="D84:E84"/>
    <mergeCell ref="D85:E85"/>
    <mergeCell ref="D86:E86"/>
    <mergeCell ref="D79:E79"/>
    <mergeCell ref="D80:E80"/>
    <mergeCell ref="D81:E81"/>
    <mergeCell ref="D82:E82"/>
    <mergeCell ref="B109:E109"/>
    <mergeCell ref="B128:E128"/>
    <mergeCell ref="B119:E119"/>
    <mergeCell ref="D87:E87"/>
    <mergeCell ref="B90:E90"/>
    <mergeCell ref="B96:E96"/>
    <mergeCell ref="B102:E102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0"/>
  <sheetViews>
    <sheetView zoomScalePageLayoutView="0" workbookViewId="0" topLeftCell="A5">
      <selection activeCell="B15" sqref="B15"/>
    </sheetView>
  </sheetViews>
  <sheetFormatPr defaultColWidth="9.00390625" defaultRowHeight="12.75"/>
  <cols>
    <col min="1" max="1" width="2.875" style="0" customWidth="1"/>
    <col min="2" max="2" width="57.125" style="0" customWidth="1"/>
    <col min="3" max="4" width="12.125" style="0" customWidth="1"/>
    <col min="5" max="5" width="14.1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208</v>
      </c>
      <c r="C7" s="26"/>
      <c r="D7" s="24"/>
    </row>
    <row r="8" spans="1:4" ht="15">
      <c r="A8" s="26"/>
      <c r="B8" s="27" t="s">
        <v>115</v>
      </c>
      <c r="C8" s="38">
        <v>4398.5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487096.71</v>
      </c>
      <c r="D11" s="155">
        <v>515813.33</v>
      </c>
      <c r="E11" s="242">
        <f aca="true" t="shared" si="0" ref="E11:E16">D11-C11</f>
        <v>28716.619999999995</v>
      </c>
    </row>
    <row r="12" spans="1:5" ht="12.75">
      <c r="A12" s="84">
        <v>2</v>
      </c>
      <c r="B12" s="5" t="s">
        <v>637</v>
      </c>
      <c r="C12" s="10">
        <f>240905.6+366.74</f>
        <v>241272.34</v>
      </c>
      <c r="D12" s="34">
        <f>255929.57+449.5</f>
        <v>256379.07</v>
      </c>
      <c r="E12" s="57">
        <f t="shared" si="0"/>
        <v>15106.73000000001</v>
      </c>
    </row>
    <row r="13" spans="1:5" ht="12.75">
      <c r="A13" s="87">
        <v>3</v>
      </c>
      <c r="B13" s="5" t="s">
        <v>633</v>
      </c>
      <c r="C13" s="67">
        <v>48816.38</v>
      </c>
      <c r="D13" s="83">
        <v>52922.9</v>
      </c>
      <c r="E13" s="57">
        <f t="shared" si="0"/>
        <v>4106.520000000004</v>
      </c>
    </row>
    <row r="14" spans="1:5" ht="12.75">
      <c r="A14" s="84">
        <v>4</v>
      </c>
      <c r="B14" s="65" t="s">
        <v>364</v>
      </c>
      <c r="C14" s="94">
        <v>65531.7</v>
      </c>
      <c r="D14" s="83">
        <v>60496.76</v>
      </c>
      <c r="E14" s="57">
        <f t="shared" si="0"/>
        <v>-5034.939999999995</v>
      </c>
    </row>
    <row r="15" spans="1:5" ht="12.75">
      <c r="A15" s="87">
        <v>5</v>
      </c>
      <c r="B15" s="351" t="s">
        <v>764</v>
      </c>
      <c r="C15" s="258">
        <f>1004.89+3173</f>
        <v>4177.89</v>
      </c>
      <c r="D15" s="258">
        <f>1410.08+3173</f>
        <v>4583.08</v>
      </c>
      <c r="E15" s="66">
        <f t="shared" si="0"/>
        <v>405.1899999999996</v>
      </c>
    </row>
    <row r="16" spans="1:5" ht="13.5" thickBot="1">
      <c r="A16" s="84">
        <v>6</v>
      </c>
      <c r="B16" s="65" t="s">
        <v>29</v>
      </c>
      <c r="C16" s="94">
        <f>2400</f>
        <v>2400</v>
      </c>
      <c r="D16" s="83">
        <f>2400</f>
        <v>2400</v>
      </c>
      <c r="E16" s="57">
        <f t="shared" si="0"/>
        <v>0</v>
      </c>
    </row>
    <row r="17" spans="1:5" ht="13.5" thickBot="1">
      <c r="A17" s="208"/>
      <c r="B17" s="209"/>
      <c r="C17" s="135">
        <f>SUM(C11:C16)</f>
        <v>849295.02</v>
      </c>
      <c r="D17" s="135">
        <f>SUM(D11:D16)</f>
        <v>892595.14</v>
      </c>
      <c r="E17" s="136">
        <f>SUM(E11:E16)</f>
        <v>43300.12000000002</v>
      </c>
    </row>
    <row r="18" spans="1:5" ht="12.75">
      <c r="A18" s="385" t="s">
        <v>793</v>
      </c>
      <c r="B18" s="386"/>
      <c r="C18" s="386"/>
      <c r="D18" s="386"/>
      <c r="E18" s="108">
        <f>E130</f>
        <v>128987.29000000001</v>
      </c>
    </row>
    <row r="19" spans="1:5" ht="12.75">
      <c r="A19" s="387" t="s">
        <v>794</v>
      </c>
      <c r="B19" s="384"/>
      <c r="C19" s="384"/>
      <c r="D19" s="384"/>
      <c r="E19" s="22">
        <v>264471.17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25.5">
      <c r="A22" s="86">
        <v>1</v>
      </c>
      <c r="B22" s="64" t="s">
        <v>768</v>
      </c>
      <c r="C22" s="80">
        <f>C58</f>
        <v>313381.99</v>
      </c>
      <c r="E22" s="29"/>
    </row>
    <row r="23" spans="1:5" ht="12.75" customHeight="1">
      <c r="A23" s="91">
        <v>2</v>
      </c>
      <c r="B23" s="25" t="s">
        <v>344</v>
      </c>
      <c r="C23" s="102">
        <f>C66</f>
        <v>15313.68</v>
      </c>
      <c r="D23" s="388"/>
      <c r="E23" s="389"/>
    </row>
    <row r="24" spans="1:5" ht="12.75">
      <c r="A24" s="84">
        <v>3</v>
      </c>
      <c r="B24" s="9" t="s">
        <v>649</v>
      </c>
      <c r="C24" s="48">
        <v>28005.74</v>
      </c>
      <c r="E24" s="29"/>
    </row>
    <row r="25" spans="1:5" ht="12.75">
      <c r="A25" s="84">
        <v>4</v>
      </c>
      <c r="B25" s="9" t="s">
        <v>122</v>
      </c>
      <c r="C25" s="48">
        <f>(C8*0.55*12)</f>
        <v>29030.100000000002</v>
      </c>
      <c r="E25" s="29"/>
    </row>
    <row r="26" spans="1:5" ht="12.75">
      <c r="A26" s="84">
        <v>5</v>
      </c>
      <c r="B26" s="9" t="s">
        <v>658</v>
      </c>
      <c r="C26" s="79">
        <v>73302.84</v>
      </c>
      <c r="E26" s="29"/>
    </row>
    <row r="27" spans="1:5" ht="12.75">
      <c r="A27" s="91">
        <v>6</v>
      </c>
      <c r="B27" s="25" t="s">
        <v>767</v>
      </c>
      <c r="C27" s="96">
        <v>4759.5</v>
      </c>
      <c r="E27" s="29"/>
    </row>
    <row r="28" spans="1:5" ht="25.5">
      <c r="A28" s="91">
        <v>7</v>
      </c>
      <c r="B28" s="25" t="s">
        <v>766</v>
      </c>
      <c r="C28" s="96">
        <v>19200</v>
      </c>
      <c r="E28" s="29"/>
    </row>
    <row r="29" spans="1:5" ht="12.75">
      <c r="A29" s="91">
        <v>8</v>
      </c>
      <c r="B29" s="346" t="s">
        <v>26</v>
      </c>
      <c r="C29" s="96">
        <v>600</v>
      </c>
      <c r="E29" s="29"/>
    </row>
    <row r="30" spans="1:5" ht="25.5">
      <c r="A30" s="91">
        <v>9</v>
      </c>
      <c r="B30" s="25" t="s">
        <v>335</v>
      </c>
      <c r="C30" s="96">
        <v>4200</v>
      </c>
      <c r="E30" s="29"/>
    </row>
    <row r="31" spans="1:3" ht="12.75">
      <c r="A31" s="50"/>
      <c r="B31" s="20" t="s">
        <v>629</v>
      </c>
      <c r="C31" s="51">
        <f>SUM(C22:C30)</f>
        <v>487793.85</v>
      </c>
    </row>
    <row r="32" spans="1:3" ht="12.75">
      <c r="A32" s="49"/>
      <c r="B32" s="8" t="s">
        <v>965</v>
      </c>
      <c r="C32" s="45"/>
    </row>
    <row r="33" spans="1:3" ht="12.75">
      <c r="A33" s="84">
        <v>1</v>
      </c>
      <c r="B33" s="9" t="s">
        <v>228</v>
      </c>
      <c r="C33" s="48">
        <f>(C17)*15%</f>
        <v>127394.253</v>
      </c>
    </row>
    <row r="34" spans="1:3" ht="12.75">
      <c r="A34" s="84">
        <v>2</v>
      </c>
      <c r="B34" s="9" t="s">
        <v>813</v>
      </c>
      <c r="C34" s="48">
        <f>C72</f>
        <v>9526.516755709628</v>
      </c>
    </row>
    <row r="35" spans="1:3" ht="12.75">
      <c r="A35" s="84">
        <v>3</v>
      </c>
      <c r="B35" s="9" t="s">
        <v>653</v>
      </c>
      <c r="C35" s="48">
        <f>C73</f>
        <v>10347.208777313892</v>
      </c>
    </row>
    <row r="36" spans="1:3" ht="12.75">
      <c r="A36" s="84">
        <v>4</v>
      </c>
      <c r="B36" s="9" t="s">
        <v>1114</v>
      </c>
      <c r="C36" s="52">
        <f>C74</f>
        <v>21005.247523861148</v>
      </c>
    </row>
    <row r="37" spans="1:3" ht="12.75">
      <c r="A37" s="84">
        <v>5</v>
      </c>
      <c r="B37" s="9" t="s">
        <v>162</v>
      </c>
      <c r="C37" s="52">
        <f>C75</f>
        <v>15348.255648971834</v>
      </c>
    </row>
    <row r="38" spans="1:3" ht="12.75">
      <c r="A38" s="84">
        <v>6</v>
      </c>
      <c r="B38" s="9" t="s">
        <v>1051</v>
      </c>
      <c r="C38" s="48">
        <f>C76+C78+C79+C80+C77</f>
        <v>26045.924950329205</v>
      </c>
    </row>
    <row r="39" spans="1:3" ht="12.75">
      <c r="A39" s="49"/>
      <c r="B39" s="74" t="s">
        <v>809</v>
      </c>
      <c r="C39" s="53"/>
    </row>
    <row r="40" spans="1:3" ht="12.75">
      <c r="A40" s="49"/>
      <c r="B40" s="5" t="s">
        <v>655</v>
      </c>
      <c r="C40" s="53"/>
    </row>
    <row r="41" spans="1:3" ht="12.75">
      <c r="A41" s="49"/>
      <c r="B41" s="74" t="s">
        <v>656</v>
      </c>
      <c r="C41" s="53"/>
    </row>
    <row r="42" spans="1:3" ht="12.75">
      <c r="A42" s="49"/>
      <c r="B42" s="74" t="s">
        <v>808</v>
      </c>
      <c r="C42" s="53"/>
    </row>
    <row r="43" spans="1:3" ht="12.75">
      <c r="A43" s="50"/>
      <c r="B43" s="20" t="s">
        <v>629</v>
      </c>
      <c r="C43" s="51">
        <f>C33+C34+C35+C36+C37+C38</f>
        <v>209667.4066561857</v>
      </c>
    </row>
    <row r="44" spans="1:3" ht="12.75">
      <c r="A44" s="49"/>
      <c r="B44" s="7" t="s">
        <v>966</v>
      </c>
      <c r="C44" s="45"/>
    </row>
    <row r="45" spans="1:3" ht="12.75">
      <c r="A45" s="84">
        <v>1</v>
      </c>
      <c r="B45" s="9" t="s">
        <v>631</v>
      </c>
      <c r="C45" s="48">
        <f>C17*2%</f>
        <v>16985.900400000002</v>
      </c>
    </row>
    <row r="46" spans="1:3" ht="12.75">
      <c r="A46" s="84">
        <v>2</v>
      </c>
      <c r="B46" s="9" t="s">
        <v>391</v>
      </c>
      <c r="C46" s="48">
        <f>C47</f>
        <v>49938.547176</v>
      </c>
    </row>
    <row r="47" spans="1:4" ht="12.75">
      <c r="A47" s="49"/>
      <c r="B47" s="5" t="s">
        <v>334</v>
      </c>
      <c r="C47" s="41">
        <f>(C17-C45)*6%</f>
        <v>49938.547176</v>
      </c>
      <c r="D47" s="19"/>
    </row>
    <row r="48" spans="1:3" ht="13.5" thickBot="1">
      <c r="A48" s="54"/>
      <c r="B48" s="55" t="s">
        <v>967</v>
      </c>
      <c r="C48" s="56">
        <f>C45+C46</f>
        <v>66924.447576</v>
      </c>
    </row>
    <row r="49" spans="1:3" ht="12.75">
      <c r="A49" s="23"/>
      <c r="B49" s="4" t="s">
        <v>288</v>
      </c>
      <c r="C49" s="11">
        <f>C31+C43+C48</f>
        <v>764385.7042321857</v>
      </c>
    </row>
    <row r="50" spans="1:3" ht="12.75">
      <c r="A50" s="23"/>
      <c r="B50" s="77"/>
      <c r="C50" s="1"/>
    </row>
    <row r="51" spans="1:3" ht="15">
      <c r="A51" s="23"/>
      <c r="B51" s="14" t="s">
        <v>812</v>
      </c>
      <c r="C51" s="1">
        <v>60443.03</v>
      </c>
    </row>
    <row r="52" spans="1:3" ht="15">
      <c r="A52" s="23"/>
      <c r="B52" s="14" t="s">
        <v>94</v>
      </c>
      <c r="C52" s="11">
        <f>C17-C49-C51</f>
        <v>24466.28576781429</v>
      </c>
    </row>
    <row r="53" ht="12.75">
      <c r="B53" s="1" t="s">
        <v>85</v>
      </c>
    </row>
    <row r="54" ht="15" customHeight="1">
      <c r="B54" s="1" t="s">
        <v>1197</v>
      </c>
    </row>
    <row r="55" spans="1:4" ht="12.75">
      <c r="A55" s="2"/>
      <c r="B55" s="2"/>
      <c r="C55" s="2" t="s">
        <v>790</v>
      </c>
      <c r="D55" s="2"/>
    </row>
    <row r="56" spans="1:4" ht="12.75">
      <c r="A56" s="2"/>
      <c r="B56" s="2"/>
      <c r="C56" s="2" t="s">
        <v>170</v>
      </c>
      <c r="D56" s="2"/>
    </row>
    <row r="57" spans="1:5" ht="13.5" thickBot="1">
      <c r="A57" s="37"/>
      <c r="B57" s="37" t="s">
        <v>969</v>
      </c>
      <c r="C57" s="32" t="s">
        <v>886</v>
      </c>
      <c r="D57" s="114">
        <f>C8</f>
        <v>4398.5</v>
      </c>
      <c r="E57" t="s">
        <v>116</v>
      </c>
    </row>
    <row r="58" spans="1:5" ht="12.75">
      <c r="A58" s="60" t="s">
        <v>218</v>
      </c>
      <c r="B58" s="39" t="s">
        <v>165</v>
      </c>
      <c r="C58" s="47">
        <v>313381.99</v>
      </c>
      <c r="D58" s="15"/>
      <c r="E58" s="21"/>
    </row>
    <row r="59" spans="1:5" ht="12.75">
      <c r="A59" s="61"/>
      <c r="B59" s="6" t="s">
        <v>118</v>
      </c>
      <c r="C59" s="41"/>
      <c r="D59" s="15"/>
      <c r="E59" s="21"/>
    </row>
    <row r="60" spans="1:5" ht="12.75">
      <c r="A60" s="62" t="s">
        <v>166</v>
      </c>
      <c r="B60" s="6" t="s">
        <v>380</v>
      </c>
      <c r="C60" s="41">
        <v>15374.3</v>
      </c>
      <c r="D60" s="15"/>
      <c r="E60" s="15"/>
    </row>
    <row r="61" spans="1:5" ht="12.75">
      <c r="A61" s="62" t="s">
        <v>166</v>
      </c>
      <c r="B61" s="6" t="s">
        <v>765</v>
      </c>
      <c r="C61" s="41">
        <v>23004.13</v>
      </c>
      <c r="D61" s="15"/>
      <c r="E61" s="15"/>
    </row>
    <row r="62" spans="1:5" ht="12.75">
      <c r="A62" s="62" t="s">
        <v>166</v>
      </c>
      <c r="B62" s="6" t="s">
        <v>963</v>
      </c>
      <c r="C62" s="41">
        <v>66767.35</v>
      </c>
      <c r="D62" s="15"/>
      <c r="E62" s="15"/>
    </row>
    <row r="63" spans="1:5" ht="12.75">
      <c r="A63" s="62" t="s">
        <v>166</v>
      </c>
      <c r="B63" s="6" t="s">
        <v>276</v>
      </c>
      <c r="C63" s="41">
        <v>866.67</v>
      </c>
      <c r="D63" s="15"/>
      <c r="E63" s="15"/>
    </row>
    <row r="64" spans="1:5" ht="12.75">
      <c r="A64" s="62" t="s">
        <v>166</v>
      </c>
      <c r="B64" s="6" t="s">
        <v>277</v>
      </c>
      <c r="C64" s="41">
        <v>2025</v>
      </c>
      <c r="D64" s="15"/>
      <c r="E64" s="15"/>
    </row>
    <row r="65" spans="1:5" ht="13.5" thickBot="1">
      <c r="A65" s="63" t="s">
        <v>166</v>
      </c>
      <c r="B65" s="42" t="s">
        <v>818</v>
      </c>
      <c r="C65" s="46">
        <v>4642.71</v>
      </c>
      <c r="D65" s="15"/>
      <c r="E65" s="15"/>
    </row>
    <row r="66" spans="1:5" ht="12.75">
      <c r="A66" s="60" t="s">
        <v>328</v>
      </c>
      <c r="B66" s="39" t="s">
        <v>343</v>
      </c>
      <c r="C66" s="47">
        <v>15313.68</v>
      </c>
      <c r="D66" s="15"/>
      <c r="E66" s="12"/>
    </row>
    <row r="67" spans="1:5" ht="12.75">
      <c r="A67" s="61"/>
      <c r="B67" s="6" t="s">
        <v>118</v>
      </c>
      <c r="C67" s="41"/>
      <c r="D67" s="15"/>
      <c r="E67" s="12"/>
    </row>
    <row r="68" spans="1:5" ht="12.75">
      <c r="A68" s="62" t="s">
        <v>166</v>
      </c>
      <c r="B68" s="6" t="s">
        <v>380</v>
      </c>
      <c r="C68" s="41">
        <v>1574</v>
      </c>
      <c r="D68" s="15"/>
      <c r="E68" s="12"/>
    </row>
    <row r="69" spans="1:5" ht="13.5" thickBot="1">
      <c r="A69" s="63" t="s">
        <v>166</v>
      </c>
      <c r="B69" s="42" t="s">
        <v>818</v>
      </c>
      <c r="C69" s="46">
        <v>251.51</v>
      </c>
      <c r="D69" s="15"/>
      <c r="E69" s="15"/>
    </row>
    <row r="70" spans="1:5" ht="12.75">
      <c r="A70" s="300" t="s">
        <v>787</v>
      </c>
      <c r="B70" s="97" t="s">
        <v>1050</v>
      </c>
      <c r="C70" s="82">
        <f>C71+C72+C74+C73+C75+C76+C78+C79+C80+C77</f>
        <v>209667.4066561857</v>
      </c>
      <c r="D70" s="15"/>
      <c r="E70" s="12"/>
    </row>
    <row r="71" spans="1:5" ht="13.5" thickBot="1">
      <c r="A71" s="40" t="s">
        <v>166</v>
      </c>
      <c r="B71" s="6" t="s">
        <v>227</v>
      </c>
      <c r="C71" s="41">
        <f>C33</f>
        <v>127394.253</v>
      </c>
      <c r="D71" s="15"/>
      <c r="E71" s="12"/>
    </row>
    <row r="72" spans="1:5" ht="12.75">
      <c r="A72" s="40" t="s">
        <v>166</v>
      </c>
      <c r="B72" s="6" t="s">
        <v>370</v>
      </c>
      <c r="C72" s="317">
        <f>401410.25/185335.63*C8</f>
        <v>9526.516755709628</v>
      </c>
      <c r="D72" s="375" t="s">
        <v>755</v>
      </c>
      <c r="E72" s="376"/>
    </row>
    <row r="73" spans="1:5" ht="12.75">
      <c r="A73" s="73" t="s">
        <v>166</v>
      </c>
      <c r="B73" s="74" t="s">
        <v>397</v>
      </c>
      <c r="C73" s="317">
        <f>435991.01/185335.63*C8</f>
        <v>10347.208777313892</v>
      </c>
      <c r="D73" s="377" t="s">
        <v>756</v>
      </c>
      <c r="E73" s="378"/>
    </row>
    <row r="74" spans="1:5" ht="12.75">
      <c r="A74" s="71" t="s">
        <v>166</v>
      </c>
      <c r="B74" s="72" t="s">
        <v>416</v>
      </c>
      <c r="C74" s="317">
        <f>1082167/226605.83*C8</f>
        <v>21005.247523861148</v>
      </c>
      <c r="D74" s="379" t="s">
        <v>757</v>
      </c>
      <c r="E74" s="380"/>
    </row>
    <row r="75" spans="1:5" ht="25.5">
      <c r="A75" s="73" t="s">
        <v>166</v>
      </c>
      <c r="B75" s="72" t="s">
        <v>231</v>
      </c>
      <c r="C75" s="318">
        <f>845684.35/242356.05*D57</f>
        <v>15348.255648971834</v>
      </c>
      <c r="D75" s="381" t="s">
        <v>758</v>
      </c>
      <c r="E75" s="382"/>
    </row>
    <row r="76" spans="1:5" ht="12.75">
      <c r="A76" s="73" t="s">
        <v>166</v>
      </c>
      <c r="B76" s="74" t="s">
        <v>808</v>
      </c>
      <c r="C76" s="318">
        <f>642562.44/242356.05*D57</f>
        <v>11661.812825964113</v>
      </c>
      <c r="D76" s="371" t="s">
        <v>759</v>
      </c>
      <c r="E76" s="372"/>
    </row>
    <row r="77" spans="1:5" ht="12.75">
      <c r="A77" s="73" t="s">
        <v>166</v>
      </c>
      <c r="B77" s="74" t="s">
        <v>826</v>
      </c>
      <c r="C77" s="318">
        <f>51615/196822.43*D57</f>
        <v>1153.4690304352</v>
      </c>
      <c r="D77" s="371" t="s">
        <v>760</v>
      </c>
      <c r="E77" s="372"/>
    </row>
    <row r="78" spans="1:5" ht="12.75">
      <c r="A78" s="73" t="s">
        <v>166</v>
      </c>
      <c r="B78" s="74" t="s">
        <v>655</v>
      </c>
      <c r="C78" s="318">
        <f>129011.28/196822.43*D57</f>
        <v>2883.0866232065114</v>
      </c>
      <c r="D78" s="371" t="s">
        <v>761</v>
      </c>
      <c r="E78" s="372"/>
    </row>
    <row r="79" spans="1:5" ht="12.75">
      <c r="A79" s="73" t="s">
        <v>166</v>
      </c>
      <c r="B79" s="74" t="s">
        <v>656</v>
      </c>
      <c r="C79" s="318">
        <f>164128/196822.43*D57</f>
        <v>3667.859440613552</v>
      </c>
      <c r="D79" s="373" t="s">
        <v>762</v>
      </c>
      <c r="E79" s="374"/>
    </row>
    <row r="80" spans="1:5" ht="13.5" thickBot="1">
      <c r="A80" s="75" t="s">
        <v>166</v>
      </c>
      <c r="B80" s="76" t="s">
        <v>809</v>
      </c>
      <c r="C80" s="319">
        <f>298900.58/196822.43*D57</f>
        <v>6679.697030109831</v>
      </c>
      <c r="D80" s="369" t="s">
        <v>763</v>
      </c>
      <c r="E80" s="370"/>
    </row>
    <row r="81" ht="13.5" thickBot="1"/>
    <row r="82" spans="2:5" ht="26.25" thickBot="1">
      <c r="B82" s="143"/>
      <c r="C82" s="205" t="s">
        <v>104</v>
      </c>
      <c r="D82" s="236" t="s">
        <v>306</v>
      </c>
      <c r="E82" s="130" t="s">
        <v>305</v>
      </c>
    </row>
    <row r="83" spans="2:5" ht="13.5" thickBot="1">
      <c r="B83" s="363" t="s">
        <v>8</v>
      </c>
      <c r="C83" s="364"/>
      <c r="D83" s="364"/>
      <c r="E83" s="365"/>
    </row>
    <row r="84" spans="2:5" ht="12.75">
      <c r="B84" s="140" t="s">
        <v>285</v>
      </c>
      <c r="C84" s="234">
        <v>218492.17</v>
      </c>
      <c r="D84" s="218">
        <v>257240.26</v>
      </c>
      <c r="E84" s="44">
        <f>D84-C84</f>
        <v>38748.09</v>
      </c>
    </row>
    <row r="85" spans="2:5" ht="12.75">
      <c r="B85" s="115" t="s">
        <v>637</v>
      </c>
      <c r="C85" s="10">
        <v>136607.63</v>
      </c>
      <c r="D85" s="99">
        <v>154061.6</v>
      </c>
      <c r="E85" s="45">
        <f>D85-C85</f>
        <v>17453.97</v>
      </c>
    </row>
    <row r="86" spans="2:5" ht="12.75">
      <c r="B86" s="115" t="s">
        <v>406</v>
      </c>
      <c r="C86" s="10">
        <v>1602.43</v>
      </c>
      <c r="D86" s="99">
        <v>1560</v>
      </c>
      <c r="E86" s="45">
        <f>D86-C86</f>
        <v>-42.430000000000064</v>
      </c>
    </row>
    <row r="87" spans="2:5" ht="13.5" thickBot="1">
      <c r="B87" s="157"/>
      <c r="C87" s="58">
        <f>SUM(C84:C86)</f>
        <v>356702.23000000004</v>
      </c>
      <c r="D87" s="58">
        <f>SUM(D84:D86)</f>
        <v>412861.86</v>
      </c>
      <c r="E87" s="59">
        <f>SUM(E84:E86)</f>
        <v>56159.63</v>
      </c>
    </row>
    <row r="88" spans="2:5" ht="13.5" thickBot="1">
      <c r="B88" s="363" t="s">
        <v>7</v>
      </c>
      <c r="C88" s="364"/>
      <c r="D88" s="364"/>
      <c r="E88" s="365"/>
    </row>
    <row r="89" spans="2:5" ht="12.75">
      <c r="B89" s="140" t="s">
        <v>285</v>
      </c>
      <c r="C89" s="234">
        <v>268199.87</v>
      </c>
      <c r="D89" s="218">
        <v>285996.97</v>
      </c>
      <c r="E89" s="44">
        <f>D89-C89</f>
        <v>17797.099999999977</v>
      </c>
    </row>
    <row r="90" spans="2:5" ht="12.75">
      <c r="B90" s="115" t="s">
        <v>637</v>
      </c>
      <c r="C90" s="10">
        <v>159469.47</v>
      </c>
      <c r="D90" s="99">
        <v>168818.27</v>
      </c>
      <c r="E90" s="45">
        <f>D90-C90</f>
        <v>9348.799999999988</v>
      </c>
    </row>
    <row r="91" spans="2:5" ht="12.75">
      <c r="B91" s="115" t="s">
        <v>888</v>
      </c>
      <c r="C91" s="10">
        <v>26216.24</v>
      </c>
      <c r="D91" s="99">
        <v>28949.2</v>
      </c>
      <c r="E91" s="45">
        <f>D91-C91</f>
        <v>2732.959999999999</v>
      </c>
    </row>
    <row r="92" spans="2:5" ht="13.5" thickBot="1">
      <c r="B92" s="124"/>
      <c r="C92" s="252">
        <f>SUM(C89:C91)</f>
        <v>453885.57999999996</v>
      </c>
      <c r="D92" s="252">
        <f>SUM(D89:D91)</f>
        <v>483764.44</v>
      </c>
      <c r="E92" s="119">
        <f>SUM(E89:E91)</f>
        <v>29878.859999999964</v>
      </c>
    </row>
    <row r="93" spans="2:5" ht="13.5" thickBot="1">
      <c r="B93" s="363" t="s">
        <v>413</v>
      </c>
      <c r="C93" s="364"/>
      <c r="D93" s="364"/>
      <c r="E93" s="365"/>
    </row>
    <row r="94" spans="2:5" ht="12.75">
      <c r="B94" s="140" t="s">
        <v>285</v>
      </c>
      <c r="C94" s="223">
        <v>372713.49</v>
      </c>
      <c r="D94" s="223">
        <v>378046.5</v>
      </c>
      <c r="E94" s="44">
        <f>D94-C94</f>
        <v>5333.010000000009</v>
      </c>
    </row>
    <row r="95" spans="2:5" ht="12.75">
      <c r="B95" s="115" t="s">
        <v>637</v>
      </c>
      <c r="C95" s="28">
        <v>193718.07</v>
      </c>
      <c r="D95" s="18">
        <v>194147.74</v>
      </c>
      <c r="E95" s="45">
        <f>D95-C95</f>
        <v>429.6699999999837</v>
      </c>
    </row>
    <row r="96" spans="2:5" ht="13.5" thickBot="1">
      <c r="B96" s="157" t="s">
        <v>408</v>
      </c>
      <c r="C96" s="263">
        <v>51263.4</v>
      </c>
      <c r="D96" s="215">
        <v>53440.24</v>
      </c>
      <c r="E96" s="46">
        <f>D96-C96</f>
        <v>2176.8399999999965</v>
      </c>
    </row>
    <row r="97" spans="2:5" ht="13.5" thickBot="1">
      <c r="B97" s="124"/>
      <c r="C97" s="252">
        <f>SUM(C94:C96)</f>
        <v>617694.9600000001</v>
      </c>
      <c r="D97" s="252">
        <f>SUM(D94:D96)</f>
        <v>625634.48</v>
      </c>
      <c r="E97" s="119">
        <f>SUM(E94:E96)</f>
        <v>7939.5199999999895</v>
      </c>
    </row>
    <row r="98" spans="2:5" ht="13.5" thickBot="1">
      <c r="B98" s="363" t="s">
        <v>412</v>
      </c>
      <c r="C98" s="364"/>
      <c r="D98" s="364"/>
      <c r="E98" s="365"/>
    </row>
    <row r="99" spans="2:5" ht="12.75">
      <c r="B99" s="140" t="s">
        <v>285</v>
      </c>
      <c r="C99" s="212">
        <v>416600.41</v>
      </c>
      <c r="D99" s="223">
        <v>434320.14</v>
      </c>
      <c r="E99" s="253">
        <f>D99-C99</f>
        <v>17719.73000000004</v>
      </c>
    </row>
    <row r="100" spans="2:5" ht="12.75">
      <c r="B100" s="115" t="s">
        <v>637</v>
      </c>
      <c r="C100" s="18">
        <v>204991.36</v>
      </c>
      <c r="D100" s="18">
        <v>213202.11</v>
      </c>
      <c r="E100" s="53">
        <f>D100-C100</f>
        <v>8210.75</v>
      </c>
    </row>
    <row r="101" spans="2:5" ht="13.5" thickBot="1">
      <c r="B101" s="157" t="s">
        <v>408</v>
      </c>
      <c r="C101" s="215">
        <v>56206.79</v>
      </c>
      <c r="D101" s="215">
        <v>59608.05</v>
      </c>
      <c r="E101" s="85">
        <f>D101-C101</f>
        <v>3401.260000000002</v>
      </c>
    </row>
    <row r="102" spans="2:5" ht="13.5" thickBot="1">
      <c r="B102" s="187"/>
      <c r="C102" s="254">
        <f>SUM(C99:C101)</f>
        <v>677798.56</v>
      </c>
      <c r="D102" s="255">
        <f>SUM(D99:D101)</f>
        <v>707130.3</v>
      </c>
      <c r="E102" s="256">
        <f>SUM(E99:E101)</f>
        <v>29331.74000000004</v>
      </c>
    </row>
    <row r="103" spans="2:5" ht="13.5" thickBot="1">
      <c r="B103" s="363" t="s">
        <v>6</v>
      </c>
      <c r="C103" s="364"/>
      <c r="D103" s="364"/>
      <c r="E103" s="365"/>
    </row>
    <row r="104" spans="2:5" ht="12.75">
      <c r="B104" s="140" t="s">
        <v>285</v>
      </c>
      <c r="C104" s="212">
        <v>471806.6</v>
      </c>
      <c r="D104" s="223">
        <v>459015.93</v>
      </c>
      <c r="E104" s="253">
        <f aca="true" t="shared" si="1" ref="E104:E110">D104-C104</f>
        <v>-12790.669999999984</v>
      </c>
    </row>
    <row r="105" spans="2:5" ht="12.75">
      <c r="B105" s="115" t="s">
        <v>637</v>
      </c>
      <c r="C105" s="18">
        <v>227293.8</v>
      </c>
      <c r="D105" s="18">
        <v>225435.66</v>
      </c>
      <c r="E105" s="53">
        <f t="shared" si="1"/>
        <v>-1858.1399999999849</v>
      </c>
    </row>
    <row r="106" spans="2:5" ht="12.75">
      <c r="B106" s="115" t="s">
        <v>408</v>
      </c>
      <c r="C106" s="18">
        <v>66565.56</v>
      </c>
      <c r="D106" s="18">
        <v>64331.8</v>
      </c>
      <c r="E106" s="53">
        <f t="shared" si="1"/>
        <v>-2233.7599999999948</v>
      </c>
    </row>
    <row r="107" spans="2:5" ht="12.75">
      <c r="B107" s="115" t="s">
        <v>163</v>
      </c>
      <c r="C107" s="28">
        <v>420060.78</v>
      </c>
      <c r="D107" s="28">
        <v>420060.78</v>
      </c>
      <c r="E107" s="53">
        <f t="shared" si="1"/>
        <v>0</v>
      </c>
    </row>
    <row r="108" spans="2:5" ht="12.75">
      <c r="B108" s="115" t="s">
        <v>113</v>
      </c>
      <c r="C108" s="28">
        <v>1954.36</v>
      </c>
      <c r="D108" s="28">
        <v>912</v>
      </c>
      <c r="E108" s="81">
        <f t="shared" si="1"/>
        <v>-1042.36</v>
      </c>
    </row>
    <row r="109" spans="2:5" ht="12.75">
      <c r="B109" s="115" t="s">
        <v>396</v>
      </c>
      <c r="C109" s="28">
        <v>72900</v>
      </c>
      <c r="D109" s="28">
        <v>72900</v>
      </c>
      <c r="E109" s="53">
        <f t="shared" si="1"/>
        <v>0</v>
      </c>
    </row>
    <row r="110" spans="2:5" ht="13.5" thickBot="1">
      <c r="B110" s="157" t="s">
        <v>1200</v>
      </c>
      <c r="C110" s="224">
        <v>13204.04</v>
      </c>
      <c r="D110" s="224">
        <v>13204.04</v>
      </c>
      <c r="E110" s="262">
        <f t="shared" si="1"/>
        <v>0</v>
      </c>
    </row>
    <row r="111" spans="2:5" ht="13.5" thickBot="1">
      <c r="B111" s="187"/>
      <c r="C111" s="254">
        <f>SUM(C104:C110)</f>
        <v>1273785.1400000001</v>
      </c>
      <c r="D111" s="255">
        <f>SUM(D104:D110)</f>
        <v>1255860.21</v>
      </c>
      <c r="E111" s="256">
        <f>SUM(E104:E110)</f>
        <v>-17924.929999999964</v>
      </c>
    </row>
    <row r="112" spans="2:5" ht="13.5" thickBot="1">
      <c r="B112" s="363" t="s">
        <v>821</v>
      </c>
      <c r="C112" s="364"/>
      <c r="D112" s="364"/>
      <c r="E112" s="365"/>
    </row>
    <row r="113" spans="2:5" ht="12.75">
      <c r="B113" s="140" t="s">
        <v>285</v>
      </c>
      <c r="C113" s="234">
        <v>306931.53</v>
      </c>
      <c r="D113" s="218">
        <v>287038.29</v>
      </c>
      <c r="E113" s="253">
        <f aca="true" t="shared" si="2" ref="E113:E119">D113-C113</f>
        <v>-19893.24000000005</v>
      </c>
    </row>
    <row r="114" spans="2:5" ht="12.75">
      <c r="B114" s="115" t="s">
        <v>637</v>
      </c>
      <c r="C114" s="10">
        <v>136908.68</v>
      </c>
      <c r="D114" s="99">
        <v>139719.59</v>
      </c>
      <c r="E114" s="53">
        <f t="shared" si="2"/>
        <v>2810.9100000000035</v>
      </c>
    </row>
    <row r="115" spans="2:5" ht="12.75">
      <c r="B115" s="220" t="s">
        <v>633</v>
      </c>
      <c r="C115" s="125">
        <v>36533.71</v>
      </c>
      <c r="D115" s="125">
        <v>32694.57</v>
      </c>
      <c r="E115" s="81">
        <f t="shared" si="2"/>
        <v>-3839.1399999999994</v>
      </c>
    </row>
    <row r="116" spans="2:5" ht="12.75">
      <c r="B116" s="220" t="s">
        <v>163</v>
      </c>
      <c r="C116" s="125">
        <v>3877.8</v>
      </c>
      <c r="D116" s="125">
        <v>1333.65</v>
      </c>
      <c r="E116" s="81">
        <f t="shared" si="2"/>
        <v>-2544.15</v>
      </c>
    </row>
    <row r="117" spans="2:5" ht="12.75">
      <c r="B117" s="115" t="s">
        <v>415</v>
      </c>
      <c r="C117" s="107">
        <v>2503.45</v>
      </c>
      <c r="D117" s="107">
        <v>1824</v>
      </c>
      <c r="E117" s="81">
        <f t="shared" si="2"/>
        <v>-679.4499999999998</v>
      </c>
    </row>
    <row r="118" spans="2:5" ht="12.75">
      <c r="B118" s="269" t="s">
        <v>1061</v>
      </c>
      <c r="C118" s="107">
        <v>4200</v>
      </c>
      <c r="D118" s="107">
        <v>4700</v>
      </c>
      <c r="E118" s="81">
        <f t="shared" si="2"/>
        <v>500</v>
      </c>
    </row>
    <row r="119" spans="2:5" ht="13.5" thickBot="1">
      <c r="B119" s="157" t="s">
        <v>364</v>
      </c>
      <c r="C119" s="142">
        <v>28997.45</v>
      </c>
      <c r="D119" s="142">
        <v>32944.87</v>
      </c>
      <c r="E119" s="85">
        <f t="shared" si="2"/>
        <v>3947.420000000002</v>
      </c>
    </row>
    <row r="120" spans="2:5" ht="13.5" thickBot="1">
      <c r="B120" s="187"/>
      <c r="C120" s="254">
        <f>SUM(C113:C119)</f>
        <v>519952.62000000005</v>
      </c>
      <c r="D120" s="255">
        <f>SUM(D113:D119)</f>
        <v>500254.97000000003</v>
      </c>
      <c r="E120" s="256">
        <f>SUM(E113:E119)</f>
        <v>-19697.650000000045</v>
      </c>
    </row>
    <row r="121" spans="2:5" ht="13.5" thickBot="1">
      <c r="B121" s="363" t="s">
        <v>87</v>
      </c>
      <c r="C121" s="364"/>
      <c r="D121" s="364"/>
      <c r="E121" s="365"/>
    </row>
    <row r="122" spans="2:5" ht="12.75">
      <c r="B122" s="140" t="s">
        <v>285</v>
      </c>
      <c r="C122" s="234">
        <v>487096.71</v>
      </c>
      <c r="D122" s="155">
        <v>515813.33</v>
      </c>
      <c r="E122" s="253">
        <f aca="true" t="shared" si="3" ref="E122:E127">D122-C122</f>
        <v>28716.619999999995</v>
      </c>
    </row>
    <row r="123" spans="2:5" ht="12.75">
      <c r="B123" s="115" t="s">
        <v>637</v>
      </c>
      <c r="C123" s="10">
        <f>240905.6+366.74</f>
        <v>241272.34</v>
      </c>
      <c r="D123" s="34">
        <f>255929.57+449.5</f>
        <v>256379.07</v>
      </c>
      <c r="E123" s="53">
        <f t="shared" si="3"/>
        <v>15106.73000000001</v>
      </c>
    </row>
    <row r="124" spans="2:5" ht="12.75">
      <c r="B124" s="115" t="s">
        <v>633</v>
      </c>
      <c r="C124" s="67">
        <v>48816.38</v>
      </c>
      <c r="D124" s="83">
        <v>52922.9</v>
      </c>
      <c r="E124" s="53">
        <f t="shared" si="3"/>
        <v>4106.520000000004</v>
      </c>
    </row>
    <row r="125" spans="2:5" ht="12.75">
      <c r="B125" s="116" t="s">
        <v>364</v>
      </c>
      <c r="C125" s="94">
        <v>65531.7</v>
      </c>
      <c r="D125" s="83">
        <v>60496.76</v>
      </c>
      <c r="E125" s="53">
        <f t="shared" si="3"/>
        <v>-5034.939999999995</v>
      </c>
    </row>
    <row r="126" spans="2:5" ht="12.75">
      <c r="B126" s="352" t="s">
        <v>764</v>
      </c>
      <c r="C126" s="258">
        <f>1004.89+3173</f>
        <v>4177.89</v>
      </c>
      <c r="D126" s="258">
        <f>1410.08+3173</f>
        <v>4583.08</v>
      </c>
      <c r="E126" s="53">
        <f t="shared" si="3"/>
        <v>405.1899999999996</v>
      </c>
    </row>
    <row r="127" spans="2:5" ht="13.5" thickBot="1">
      <c r="B127" s="157" t="s">
        <v>29</v>
      </c>
      <c r="C127" s="247">
        <f>2400</f>
        <v>2400</v>
      </c>
      <c r="D127" s="226">
        <f>2400</f>
        <v>2400</v>
      </c>
      <c r="E127" s="262">
        <f t="shared" si="3"/>
        <v>0</v>
      </c>
    </row>
    <row r="128" spans="2:5" ht="13.5" thickBot="1">
      <c r="B128" s="177"/>
      <c r="C128" s="217">
        <f>SUM(C122:C127)</f>
        <v>849295.02</v>
      </c>
      <c r="D128" s="217">
        <f>SUM(D122:D127)</f>
        <v>892595.14</v>
      </c>
      <c r="E128" s="353">
        <f>SUM(E122:E127)</f>
        <v>43300.12000000002</v>
      </c>
    </row>
    <row r="129" spans="2:5" ht="13.5" thickBot="1">
      <c r="B129" s="366" t="s">
        <v>379</v>
      </c>
      <c r="C129" s="367"/>
      <c r="D129" s="367"/>
      <c r="E129" s="368"/>
    </row>
    <row r="130" spans="2:5" ht="13.5" thickBot="1">
      <c r="B130" s="153"/>
      <c r="C130" s="117">
        <f>C97+C102+C92+C87+C111+C120+C128</f>
        <v>4749114.11</v>
      </c>
      <c r="D130" s="117">
        <f>D97+D102+D92+D87+D111+D120+D128</f>
        <v>4878101.4</v>
      </c>
      <c r="E130" s="117">
        <f>E97+E102+E92+E87+E111+E120+E128</f>
        <v>128987.29000000001</v>
      </c>
    </row>
  </sheetData>
  <sheetProtection/>
  <mergeCells count="25">
    <mergeCell ref="A6:E6"/>
    <mergeCell ref="A18:D18"/>
    <mergeCell ref="A19:D19"/>
    <mergeCell ref="D23:E23"/>
    <mergeCell ref="A2:B2"/>
    <mergeCell ref="C2:E2"/>
    <mergeCell ref="C3:E3"/>
    <mergeCell ref="B4:E4"/>
    <mergeCell ref="D76:E76"/>
    <mergeCell ref="D77:E77"/>
    <mergeCell ref="D78:E78"/>
    <mergeCell ref="D79:E79"/>
    <mergeCell ref="D72:E72"/>
    <mergeCell ref="D73:E73"/>
    <mergeCell ref="D74:E74"/>
    <mergeCell ref="D75:E75"/>
    <mergeCell ref="B98:E98"/>
    <mergeCell ref="B103:E103"/>
    <mergeCell ref="B112:E112"/>
    <mergeCell ref="B129:E129"/>
    <mergeCell ref="B121:E121"/>
    <mergeCell ref="D80:E80"/>
    <mergeCell ref="B83:E83"/>
    <mergeCell ref="B88:E88"/>
    <mergeCell ref="B93:E93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7.75390625" style="0" customWidth="1"/>
    <col min="3" max="3" width="10.625" style="0" customWidth="1"/>
    <col min="4" max="4" width="12.253906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980</v>
      </c>
      <c r="C7" s="26"/>
      <c r="D7" s="24"/>
    </row>
    <row r="8" spans="1:4" ht="15">
      <c r="A8" s="26"/>
      <c r="B8" s="27" t="s">
        <v>115</v>
      </c>
      <c r="C8" s="38">
        <v>2444.5</v>
      </c>
      <c r="D8" s="92" t="s">
        <v>116</v>
      </c>
    </row>
    <row r="9" spans="1:4" ht="15">
      <c r="A9" s="26"/>
      <c r="B9" s="27" t="s">
        <v>654</v>
      </c>
      <c r="C9" s="93">
        <v>72</v>
      </c>
      <c r="D9" s="92" t="s">
        <v>116</v>
      </c>
    </row>
    <row r="10" spans="1:4" ht="15">
      <c r="A10" s="26"/>
      <c r="B10" s="27"/>
      <c r="C10" s="38"/>
      <c r="D10" s="92"/>
    </row>
    <row r="11" spans="1:5" ht="13.5" thickBot="1">
      <c r="A11" s="23" t="s">
        <v>635</v>
      </c>
      <c r="B11" s="3" t="s">
        <v>636</v>
      </c>
      <c r="C11" s="12"/>
      <c r="D11" s="21"/>
      <c r="E11" s="31"/>
    </row>
    <row r="12" spans="1:5" ht="39" thickBot="1">
      <c r="A12" s="237"/>
      <c r="B12" s="238" t="s">
        <v>103</v>
      </c>
      <c r="C12" s="239" t="s">
        <v>104</v>
      </c>
      <c r="D12" s="240" t="s">
        <v>306</v>
      </c>
      <c r="E12" s="241" t="s">
        <v>378</v>
      </c>
    </row>
    <row r="13" spans="1:5" ht="12.75">
      <c r="A13" s="113">
        <v>1</v>
      </c>
      <c r="B13" s="141" t="s">
        <v>285</v>
      </c>
      <c r="C13" s="234">
        <v>293905.07</v>
      </c>
      <c r="D13" s="218">
        <v>296527.37</v>
      </c>
      <c r="E13" s="242">
        <f aca="true" t="shared" si="0" ref="E13:E21">D13-C13</f>
        <v>2622.2999999999884</v>
      </c>
    </row>
    <row r="14" spans="1:5" ht="12.75">
      <c r="A14" s="84">
        <v>2</v>
      </c>
      <c r="B14" s="5" t="s">
        <v>637</v>
      </c>
      <c r="C14" s="10">
        <v>145305.05</v>
      </c>
      <c r="D14" s="98">
        <v>148578</v>
      </c>
      <c r="E14" s="57">
        <f t="shared" si="0"/>
        <v>3272.9500000000116</v>
      </c>
    </row>
    <row r="15" spans="1:5" ht="12.75">
      <c r="A15" s="84">
        <v>3</v>
      </c>
      <c r="B15" s="5" t="s">
        <v>364</v>
      </c>
      <c r="C15" s="10">
        <v>40771.08</v>
      </c>
      <c r="D15" s="98">
        <v>35410.42</v>
      </c>
      <c r="E15" s="57">
        <f t="shared" si="0"/>
        <v>-5360.6600000000035</v>
      </c>
    </row>
    <row r="16" spans="1:5" ht="12.75">
      <c r="A16" s="84">
        <v>4</v>
      </c>
      <c r="B16" s="5" t="s">
        <v>633</v>
      </c>
      <c r="C16" s="10">
        <v>51139.08</v>
      </c>
      <c r="D16" s="98">
        <v>52801.2</v>
      </c>
      <c r="E16" s="57">
        <f t="shared" si="0"/>
        <v>1662.1199999999953</v>
      </c>
    </row>
    <row r="17" spans="1:5" ht="12.75">
      <c r="A17" s="84">
        <v>5</v>
      </c>
      <c r="B17" s="5" t="s">
        <v>556</v>
      </c>
      <c r="C17" s="10">
        <v>19975.4</v>
      </c>
      <c r="D17" s="98">
        <v>21110.55</v>
      </c>
      <c r="E17" s="57">
        <f t="shared" si="0"/>
        <v>1135.1499999999978</v>
      </c>
    </row>
    <row r="18" spans="1:5" ht="12.75">
      <c r="A18" s="84">
        <v>6</v>
      </c>
      <c r="B18" s="5" t="s">
        <v>734</v>
      </c>
      <c r="C18" s="10">
        <v>2400</v>
      </c>
      <c r="D18" s="98">
        <v>2400</v>
      </c>
      <c r="E18" s="57">
        <f t="shared" si="0"/>
        <v>0</v>
      </c>
    </row>
    <row r="19" spans="1:5" ht="12.75">
      <c r="A19" s="84">
        <v>7</v>
      </c>
      <c r="B19" s="5" t="s">
        <v>1036</v>
      </c>
      <c r="C19" s="10">
        <v>12906.22</v>
      </c>
      <c r="D19" s="98">
        <v>12906.22</v>
      </c>
      <c r="E19" s="57">
        <f t="shared" si="0"/>
        <v>0</v>
      </c>
    </row>
    <row r="20" spans="1:5" ht="12.75">
      <c r="A20" s="84">
        <v>8</v>
      </c>
      <c r="B20" s="5" t="s">
        <v>232</v>
      </c>
      <c r="C20" s="125">
        <v>15061.68</v>
      </c>
      <c r="D20" s="125">
        <v>15061.68</v>
      </c>
      <c r="E20" s="128">
        <f t="shared" si="0"/>
        <v>0</v>
      </c>
    </row>
    <row r="21" spans="1:5" ht="13.5" thickBot="1">
      <c r="A21" s="261">
        <v>9</v>
      </c>
      <c r="B21" s="95" t="s">
        <v>29</v>
      </c>
      <c r="C21" s="225">
        <f>3500+2400+3600+3900</f>
        <v>13400</v>
      </c>
      <c r="D21" s="227">
        <f>4200+2400+3600+4200</f>
        <v>14400</v>
      </c>
      <c r="E21" s="222">
        <f t="shared" si="0"/>
        <v>1000</v>
      </c>
    </row>
    <row r="22" spans="1:5" ht="13.5" thickBot="1">
      <c r="A22" s="250"/>
      <c r="B22" s="251"/>
      <c r="C22" s="118">
        <f>SUM(C13:C21)</f>
        <v>594863.5800000001</v>
      </c>
      <c r="D22" s="118">
        <f>SUM(D13:D21)</f>
        <v>599195.4400000001</v>
      </c>
      <c r="E22" s="137">
        <f>SUM(E13:E21)</f>
        <v>4331.85999999999</v>
      </c>
    </row>
    <row r="23" spans="1:5" ht="12.75">
      <c r="A23" s="385" t="s">
        <v>793</v>
      </c>
      <c r="B23" s="386"/>
      <c r="C23" s="386"/>
      <c r="D23" s="386"/>
      <c r="E23" s="108">
        <f>E129</f>
        <v>126100.31000000008</v>
      </c>
    </row>
    <row r="24" spans="1:5" ht="12.75">
      <c r="A24" s="387" t="s">
        <v>794</v>
      </c>
      <c r="B24" s="384"/>
      <c r="C24" s="384"/>
      <c r="D24" s="384"/>
      <c r="E24" s="22">
        <v>136184.22</v>
      </c>
    </row>
    <row r="25" spans="1:2" ht="12.75">
      <c r="A25" s="37"/>
      <c r="B25" s="3" t="s">
        <v>217</v>
      </c>
    </row>
    <row r="26" spans="1:2" ht="13.5" thickBot="1">
      <c r="A26" s="37"/>
      <c r="B26" s="30" t="s">
        <v>964</v>
      </c>
    </row>
    <row r="27" spans="1:5" ht="12.75">
      <c r="A27" s="86">
        <v>1</v>
      </c>
      <c r="B27" s="64" t="s">
        <v>789</v>
      </c>
      <c r="C27" s="80">
        <f>C66</f>
        <v>258084.41</v>
      </c>
      <c r="E27" s="29"/>
    </row>
    <row r="28" spans="1:5" ht="12.75">
      <c r="A28" s="91">
        <v>2</v>
      </c>
      <c r="B28" s="25" t="s">
        <v>344</v>
      </c>
      <c r="C28" s="102">
        <f>C72</f>
        <v>10251.67</v>
      </c>
      <c r="D28" s="388"/>
      <c r="E28" s="389"/>
    </row>
    <row r="29" spans="1:5" ht="12.75">
      <c r="A29" s="84">
        <v>3</v>
      </c>
      <c r="B29" s="9" t="s">
        <v>649</v>
      </c>
      <c r="C29" s="48">
        <v>3382.4</v>
      </c>
      <c r="E29" s="29"/>
    </row>
    <row r="30" spans="1:5" ht="12.75">
      <c r="A30" s="84">
        <v>4</v>
      </c>
      <c r="B30" s="9" t="s">
        <v>122</v>
      </c>
      <c r="C30" s="48">
        <f>(C8*0.55*12)</f>
        <v>16133.7</v>
      </c>
      <c r="E30" s="29"/>
    </row>
    <row r="31" spans="1:5" ht="12.75">
      <c r="A31" s="84">
        <v>5</v>
      </c>
      <c r="B31" s="9" t="s">
        <v>658</v>
      </c>
      <c r="C31" s="79">
        <v>41432.04</v>
      </c>
      <c r="E31" s="29"/>
    </row>
    <row r="32" spans="1:5" ht="12.75">
      <c r="A32" s="91">
        <v>6</v>
      </c>
      <c r="B32" s="25" t="s">
        <v>61</v>
      </c>
      <c r="C32" s="203">
        <v>2400</v>
      </c>
      <c r="E32" s="29"/>
    </row>
    <row r="33" spans="1:5" ht="12.75">
      <c r="A33" s="84">
        <v>7</v>
      </c>
      <c r="B33" s="25" t="s">
        <v>1006</v>
      </c>
      <c r="C33" s="203">
        <v>19138.97</v>
      </c>
      <c r="E33" s="29"/>
    </row>
    <row r="34" spans="1:5" ht="12.75">
      <c r="A34" s="91">
        <v>8</v>
      </c>
      <c r="B34" s="346" t="s">
        <v>363</v>
      </c>
      <c r="C34" s="96">
        <v>192.96</v>
      </c>
      <c r="E34" s="29"/>
    </row>
    <row r="35" spans="1:5" ht="12.75">
      <c r="A35" s="84">
        <v>9</v>
      </c>
      <c r="B35" s="346" t="s">
        <v>26</v>
      </c>
      <c r="C35" s="96">
        <v>600</v>
      </c>
      <c r="E35" s="29"/>
    </row>
    <row r="36" spans="1:5" ht="38.25">
      <c r="A36" s="91">
        <v>10</v>
      </c>
      <c r="B36" s="25" t="s">
        <v>735</v>
      </c>
      <c r="C36" s="349">
        <v>6722.85</v>
      </c>
      <c r="E36" s="29"/>
    </row>
    <row r="37" spans="1:5" ht="25.5">
      <c r="A37" s="91">
        <v>11</v>
      </c>
      <c r="B37" s="25" t="s">
        <v>60</v>
      </c>
      <c r="C37" s="96">
        <v>-2300</v>
      </c>
      <c r="E37" s="29"/>
    </row>
    <row r="38" spans="1:3" ht="12.75">
      <c r="A38" s="50"/>
      <c r="B38" s="20" t="s">
        <v>629</v>
      </c>
      <c r="C38" s="51">
        <f>SUM(C27:C37)</f>
        <v>356039.00000000006</v>
      </c>
    </row>
    <row r="39" spans="1:3" ht="12.75">
      <c r="A39" s="49"/>
      <c r="B39" s="8" t="s">
        <v>965</v>
      </c>
      <c r="C39" s="45"/>
    </row>
    <row r="40" spans="1:3" ht="12.75">
      <c r="A40" s="84">
        <v>1</v>
      </c>
      <c r="B40" s="9" t="s">
        <v>228</v>
      </c>
      <c r="C40" s="48">
        <f>(C22)*15%</f>
        <v>89229.53700000001</v>
      </c>
    </row>
    <row r="41" spans="1:3" ht="12.75">
      <c r="A41" s="84">
        <v>2</v>
      </c>
      <c r="B41" s="9" t="s">
        <v>813</v>
      </c>
      <c r="C41" s="48">
        <f>C78</f>
        <v>5294.434513887049</v>
      </c>
    </row>
    <row r="42" spans="1:3" ht="12.75">
      <c r="A42" s="84">
        <v>3</v>
      </c>
      <c r="B42" s="9" t="s">
        <v>653</v>
      </c>
      <c r="C42" s="48">
        <f>C79</f>
        <v>5750.540378798183</v>
      </c>
    </row>
    <row r="43" spans="1:3" ht="12.75">
      <c r="A43" s="84">
        <v>4</v>
      </c>
      <c r="B43" s="9" t="s">
        <v>1114</v>
      </c>
      <c r="C43" s="52">
        <f>C80</f>
        <v>11673.826889184626</v>
      </c>
    </row>
    <row r="44" spans="1:3" ht="12.75">
      <c r="A44" s="84">
        <v>5</v>
      </c>
      <c r="B44" s="9" t="s">
        <v>162</v>
      </c>
      <c r="C44" s="52">
        <f>C81</f>
        <v>8781.14933287203</v>
      </c>
    </row>
    <row r="45" spans="1:3" ht="12.75">
      <c r="A45" s="84">
        <v>6</v>
      </c>
      <c r="B45" s="9" t="s">
        <v>1051</v>
      </c>
      <c r="C45" s="48">
        <f>C82+C84+C85+C86+C83</f>
        <v>14901.573294874037</v>
      </c>
    </row>
    <row r="46" spans="1:3" ht="12.75">
      <c r="A46" s="49"/>
      <c r="B46" s="74" t="s">
        <v>809</v>
      </c>
      <c r="C46" s="53"/>
    </row>
    <row r="47" spans="1:3" ht="12.75">
      <c r="A47" s="49"/>
      <c r="B47" s="5" t="s">
        <v>655</v>
      </c>
      <c r="C47" s="53"/>
    </row>
    <row r="48" spans="1:3" ht="12.75">
      <c r="A48" s="49"/>
      <c r="B48" s="74" t="s">
        <v>656</v>
      </c>
      <c r="C48" s="53"/>
    </row>
    <row r="49" spans="1:3" ht="12.75">
      <c r="A49" s="49"/>
      <c r="B49" s="74" t="s">
        <v>808</v>
      </c>
      <c r="C49" s="53"/>
    </row>
    <row r="50" spans="1:3" ht="12.75">
      <c r="A50" s="50"/>
      <c r="B50" s="20" t="s">
        <v>629</v>
      </c>
      <c r="C50" s="51">
        <f>C40+C41+C42+C43+C44+C45</f>
        <v>135631.06140961594</v>
      </c>
    </row>
    <row r="51" spans="1:3" ht="12.75">
      <c r="A51" s="49"/>
      <c r="B51" s="7" t="s">
        <v>966</v>
      </c>
      <c r="C51" s="45"/>
    </row>
    <row r="52" spans="1:3" ht="12.75">
      <c r="A52" s="84">
        <v>1</v>
      </c>
      <c r="B52" s="9" t="s">
        <v>631</v>
      </c>
      <c r="C52" s="48">
        <f>C22*2%</f>
        <v>11897.271600000002</v>
      </c>
    </row>
    <row r="53" spans="1:3" ht="12.75">
      <c r="A53" s="84">
        <v>2</v>
      </c>
      <c r="B53" s="9" t="s">
        <v>391</v>
      </c>
      <c r="C53" s="48">
        <f>C54</f>
        <v>34977.978504000006</v>
      </c>
    </row>
    <row r="54" spans="1:4" ht="12.75">
      <c r="A54" s="49"/>
      <c r="B54" s="5" t="s">
        <v>334</v>
      </c>
      <c r="C54" s="41">
        <f>(C22-C52)*6%</f>
        <v>34977.978504000006</v>
      </c>
      <c r="D54" s="19"/>
    </row>
    <row r="55" spans="1:3" ht="13.5" thickBot="1">
      <c r="A55" s="54"/>
      <c r="B55" s="55" t="s">
        <v>967</v>
      </c>
      <c r="C55" s="56">
        <f>C52+C53</f>
        <v>46875.250104000006</v>
      </c>
    </row>
    <row r="56" spans="1:3" ht="12.75">
      <c r="A56" s="23"/>
      <c r="B56" s="4" t="s">
        <v>288</v>
      </c>
      <c r="C56" s="11">
        <f>C38+C50+C55</f>
        <v>538545.311513616</v>
      </c>
    </row>
    <row r="57" spans="1:3" ht="12.75">
      <c r="A57" s="23"/>
      <c r="B57" s="77"/>
      <c r="C57" s="1"/>
    </row>
    <row r="58" spans="1:3" ht="15">
      <c r="A58" s="23"/>
      <c r="B58" s="14" t="s">
        <v>975</v>
      </c>
      <c r="C58" s="11">
        <v>15695.38</v>
      </c>
    </row>
    <row r="59" spans="1:3" ht="15">
      <c r="A59" s="23"/>
      <c r="B59" s="14" t="s">
        <v>12</v>
      </c>
      <c r="C59" s="11">
        <v>37981.57</v>
      </c>
    </row>
    <row r="60" spans="1:3" ht="15">
      <c r="A60" s="23"/>
      <c r="B60" s="14" t="s">
        <v>94</v>
      </c>
      <c r="C60" s="11">
        <f>C22+C58+C59-C56</f>
        <v>109995.21848638402</v>
      </c>
    </row>
    <row r="61" ht="12.75">
      <c r="B61" s="1" t="s">
        <v>85</v>
      </c>
    </row>
    <row r="62" ht="14.25" customHeight="1">
      <c r="B62" s="1" t="s">
        <v>1197</v>
      </c>
    </row>
    <row r="63" spans="1:4" ht="12.75">
      <c r="A63" s="2"/>
      <c r="B63" s="2"/>
      <c r="C63" s="2" t="s">
        <v>790</v>
      </c>
      <c r="D63" s="2"/>
    </row>
    <row r="64" spans="1:4" ht="12.75">
      <c r="A64" s="2"/>
      <c r="B64" s="2"/>
      <c r="C64" s="2" t="s">
        <v>584</v>
      </c>
      <c r="D64" s="2"/>
    </row>
    <row r="65" spans="1:5" ht="13.5" thickBot="1">
      <c r="A65" s="37"/>
      <c r="B65" s="37" t="s">
        <v>969</v>
      </c>
      <c r="C65" s="32" t="s">
        <v>886</v>
      </c>
      <c r="D65" s="114">
        <f>C8+C9</f>
        <v>2516.5</v>
      </c>
      <c r="E65" t="s">
        <v>116</v>
      </c>
    </row>
    <row r="66" spans="1:5" ht="12.75">
      <c r="A66" s="60" t="s">
        <v>218</v>
      </c>
      <c r="B66" s="39" t="s">
        <v>797</v>
      </c>
      <c r="C66" s="47">
        <v>258084.41</v>
      </c>
      <c r="D66" s="15"/>
      <c r="E66" s="21"/>
    </row>
    <row r="67" spans="1:5" ht="12.75">
      <c r="A67" s="61"/>
      <c r="B67" s="6" t="s">
        <v>118</v>
      </c>
      <c r="C67" s="41"/>
      <c r="D67" s="15"/>
      <c r="E67" s="21"/>
    </row>
    <row r="68" spans="1:5" ht="12.75">
      <c r="A68" s="62" t="s">
        <v>166</v>
      </c>
      <c r="B68" s="6" t="s">
        <v>380</v>
      </c>
      <c r="C68" s="41">
        <v>19167.5</v>
      </c>
      <c r="D68" s="15"/>
      <c r="E68" s="15"/>
    </row>
    <row r="69" spans="1:5" ht="12.75">
      <c r="A69" s="62" t="s">
        <v>166</v>
      </c>
      <c r="B69" s="6" t="s">
        <v>634</v>
      </c>
      <c r="C69" s="41">
        <v>76271.91</v>
      </c>
      <c r="D69" s="15"/>
      <c r="E69" s="15"/>
    </row>
    <row r="70" spans="1:5" ht="12.75">
      <c r="A70" s="62" t="s">
        <v>166</v>
      </c>
      <c r="B70" s="6" t="s">
        <v>560</v>
      </c>
      <c r="C70" s="41">
        <v>4745.64</v>
      </c>
      <c r="D70" s="15"/>
      <c r="E70" s="15"/>
    </row>
    <row r="71" spans="1:5" ht="13.5" thickBot="1">
      <c r="A71" s="63" t="s">
        <v>166</v>
      </c>
      <c r="B71" s="42" t="s">
        <v>818</v>
      </c>
      <c r="C71" s="43">
        <v>3619.99</v>
      </c>
      <c r="D71" s="15"/>
      <c r="E71" s="15"/>
    </row>
    <row r="72" spans="1:5" ht="12.75">
      <c r="A72" s="60" t="s">
        <v>328</v>
      </c>
      <c r="B72" s="39" t="s">
        <v>343</v>
      </c>
      <c r="C72" s="47">
        <v>10251.67</v>
      </c>
      <c r="D72" s="15"/>
      <c r="E72" s="12"/>
    </row>
    <row r="73" spans="1:5" ht="12.75">
      <c r="A73" s="61"/>
      <c r="B73" s="6" t="s">
        <v>118</v>
      </c>
      <c r="C73" s="41"/>
      <c r="D73" s="15"/>
      <c r="E73" s="12"/>
    </row>
    <row r="74" spans="1:5" ht="12.75">
      <c r="A74" s="62" t="s">
        <v>166</v>
      </c>
      <c r="B74" s="6" t="s">
        <v>380</v>
      </c>
      <c r="C74" s="41">
        <v>110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139.78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135631.06140961594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C40</f>
        <v>89229.53700000001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5294.434513887049</v>
      </c>
      <c r="D78" s="375" t="s">
        <v>585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5750.540378798183</v>
      </c>
      <c r="D79" s="377" t="s">
        <v>586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11673.826889184626</v>
      </c>
      <c r="D80" s="379" t="s">
        <v>587</v>
      </c>
      <c r="E80" s="380"/>
    </row>
    <row r="81" spans="1:5" ht="25.5">
      <c r="A81" s="73" t="s">
        <v>166</v>
      </c>
      <c r="B81" s="72" t="s">
        <v>231</v>
      </c>
      <c r="C81" s="318">
        <f>845684.35/242356.05*D65</f>
        <v>8781.14933287203</v>
      </c>
      <c r="D81" s="381" t="s">
        <v>588</v>
      </c>
      <c r="E81" s="382"/>
    </row>
    <row r="82" spans="1:5" ht="12.75">
      <c r="A82" s="73" t="s">
        <v>166</v>
      </c>
      <c r="B82" s="74" t="s">
        <v>808</v>
      </c>
      <c r="C82" s="318">
        <f>642562.44/242356.05*D65</f>
        <v>6672.036370703351</v>
      </c>
      <c r="D82" s="371" t="s">
        <v>589</v>
      </c>
      <c r="E82" s="372"/>
    </row>
    <row r="83" spans="1:5" ht="12.75">
      <c r="A83" s="73" t="s">
        <v>166</v>
      </c>
      <c r="B83" s="74" t="s">
        <v>826</v>
      </c>
      <c r="C83" s="318">
        <f>51615/196822.43*D65</f>
        <v>659.9306161396341</v>
      </c>
      <c r="D83" s="371" t="s">
        <v>590</v>
      </c>
      <c r="E83" s="372"/>
    </row>
    <row r="84" spans="1:5" ht="12.75">
      <c r="A84" s="73" t="s">
        <v>166</v>
      </c>
      <c r="B84" s="74" t="s">
        <v>655</v>
      </c>
      <c r="C84" s="318">
        <f>129011.28/196822.43*D65</f>
        <v>1649.4913009660536</v>
      </c>
      <c r="D84" s="371" t="s">
        <v>591</v>
      </c>
      <c r="E84" s="372"/>
    </row>
    <row r="85" spans="1:5" ht="12.75">
      <c r="A85" s="73" t="s">
        <v>166</v>
      </c>
      <c r="B85" s="74" t="s">
        <v>656</v>
      </c>
      <c r="C85" s="318">
        <f>164128/196822.43*D65</f>
        <v>2098.4809099247477</v>
      </c>
      <c r="D85" s="373" t="s">
        <v>592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298900.58/196822.43*D65</f>
        <v>3821.6340971402497</v>
      </c>
      <c r="D86" s="369" t="s">
        <v>593</v>
      </c>
      <c r="E86" s="370"/>
    </row>
    <row r="87" ht="13.5" thickBot="1"/>
    <row r="88" spans="2:5" ht="26.25" thickBot="1">
      <c r="B88" s="143"/>
      <c r="C88" s="205" t="s">
        <v>104</v>
      </c>
      <c r="D88" s="236" t="s">
        <v>306</v>
      </c>
      <c r="E88" s="130" t="s">
        <v>305</v>
      </c>
    </row>
    <row r="89" spans="2:5" ht="13.5" thickBot="1">
      <c r="B89" s="418" t="s">
        <v>970</v>
      </c>
      <c r="C89" s="419"/>
      <c r="D89" s="419"/>
      <c r="E89" s="420"/>
    </row>
    <row r="90" spans="2:5" ht="12.75">
      <c r="B90" s="140" t="s">
        <v>285</v>
      </c>
      <c r="C90" s="234">
        <v>164171.08</v>
      </c>
      <c r="D90" s="155">
        <v>186165.5</v>
      </c>
      <c r="E90" s="44">
        <f>D90-C90</f>
        <v>21994.420000000013</v>
      </c>
    </row>
    <row r="91" spans="2:5" ht="12.75">
      <c r="B91" s="115" t="s">
        <v>637</v>
      </c>
      <c r="C91" s="10">
        <v>91912.27</v>
      </c>
      <c r="D91" s="33">
        <v>103055.9</v>
      </c>
      <c r="E91" s="45">
        <f>D91-C91</f>
        <v>11143.62999999999</v>
      </c>
    </row>
    <row r="92" spans="2:5" ht="13.5" thickBot="1">
      <c r="B92" s="157" t="s">
        <v>232</v>
      </c>
      <c r="C92" s="225">
        <v>7089.12</v>
      </c>
      <c r="D92" s="245">
        <v>7876.8</v>
      </c>
      <c r="E92" s="46">
        <f>D92-C92</f>
        <v>787.6800000000003</v>
      </c>
    </row>
    <row r="93" spans="2:5" ht="13.5" thickBot="1">
      <c r="B93" s="230"/>
      <c r="C93" s="231">
        <f>SUM(C90:C92)</f>
        <v>263172.47</v>
      </c>
      <c r="D93" s="232">
        <f>SUM(D90:D92)</f>
        <v>297098.2</v>
      </c>
      <c r="E93" s="233">
        <f>D93-C93</f>
        <v>33925.73000000004</v>
      </c>
    </row>
    <row r="94" spans="2:5" ht="13.5" thickBot="1">
      <c r="B94" s="363" t="s">
        <v>1054</v>
      </c>
      <c r="C94" s="364"/>
      <c r="D94" s="364"/>
      <c r="E94" s="365"/>
    </row>
    <row r="95" spans="2:5" ht="12.75">
      <c r="B95" s="140" t="s">
        <v>285</v>
      </c>
      <c r="C95" s="234">
        <v>229986.3</v>
      </c>
      <c r="D95" s="155">
        <v>245913.6</v>
      </c>
      <c r="E95" s="44">
        <f>D95-C95</f>
        <v>15927.300000000017</v>
      </c>
    </row>
    <row r="96" spans="2:5" ht="12.75">
      <c r="B96" s="115" t="s">
        <v>637</v>
      </c>
      <c r="C96" s="10">
        <v>113171.22</v>
      </c>
      <c r="D96" s="34">
        <v>120903.41</v>
      </c>
      <c r="E96" s="45">
        <f>D96-C96</f>
        <v>7732.190000000002</v>
      </c>
    </row>
    <row r="97" spans="2:5" ht="12.75">
      <c r="B97" s="116" t="s">
        <v>232</v>
      </c>
      <c r="C97" s="67">
        <v>12752.64</v>
      </c>
      <c r="D97" s="83">
        <v>11964.96</v>
      </c>
      <c r="E97" s="45">
        <f>D97-C97</f>
        <v>-787.6800000000003</v>
      </c>
    </row>
    <row r="98" spans="2:5" ht="12.75">
      <c r="B98" s="116" t="s">
        <v>633</v>
      </c>
      <c r="C98" s="94">
        <v>11434.84</v>
      </c>
      <c r="D98" s="83">
        <v>13766.64</v>
      </c>
      <c r="E98" s="45">
        <f>D98-C98</f>
        <v>2331.7999999999993</v>
      </c>
    </row>
    <row r="99" spans="2:5" ht="26.25" thickBot="1">
      <c r="B99" s="156" t="s">
        <v>119</v>
      </c>
      <c r="C99" s="229">
        <v>2500</v>
      </c>
      <c r="D99" s="229">
        <v>2500</v>
      </c>
      <c r="E99" s="46">
        <f>D99-C99</f>
        <v>0</v>
      </c>
    </row>
    <row r="100" spans="2:5" ht="13.5" thickBot="1">
      <c r="B100" s="153"/>
      <c r="C100" s="304">
        <f>SUM(C95:C99)</f>
        <v>369845.00000000006</v>
      </c>
      <c r="D100" s="306">
        <f>SUM(D95:D99)</f>
        <v>395048.61000000004</v>
      </c>
      <c r="E100" s="305">
        <f>SUM(E95:E99)</f>
        <v>25203.61000000002</v>
      </c>
    </row>
    <row r="101" spans="2:5" ht="13.5" thickBot="1">
      <c r="B101" s="363" t="s">
        <v>168</v>
      </c>
      <c r="C101" s="364"/>
      <c r="D101" s="364"/>
      <c r="E101" s="365"/>
    </row>
    <row r="102" spans="2:5" ht="12.75">
      <c r="B102" s="140" t="s">
        <v>285</v>
      </c>
      <c r="C102" s="234">
        <v>247874.46</v>
      </c>
      <c r="D102" s="155">
        <v>255216.24</v>
      </c>
      <c r="E102" s="253">
        <f>D102-C102</f>
        <v>7341.779999999999</v>
      </c>
    </row>
    <row r="103" spans="2:5" ht="12.75">
      <c r="B103" s="115" t="s">
        <v>637</v>
      </c>
      <c r="C103" s="10">
        <v>121543.97</v>
      </c>
      <c r="D103" s="34">
        <v>124087.8</v>
      </c>
      <c r="E103" s="53">
        <f>D103-C103</f>
        <v>2543.8300000000017</v>
      </c>
    </row>
    <row r="104" spans="2:5" ht="12.75">
      <c r="B104" s="116" t="s">
        <v>232</v>
      </c>
      <c r="C104" s="67">
        <v>12467.52</v>
      </c>
      <c r="D104" s="83">
        <v>12467.52</v>
      </c>
      <c r="E104" s="53">
        <f>D104-C104</f>
        <v>0</v>
      </c>
    </row>
    <row r="105" spans="2:5" ht="12.75">
      <c r="B105" s="116" t="s">
        <v>633</v>
      </c>
      <c r="C105" s="94">
        <v>18984.71</v>
      </c>
      <c r="D105" s="83">
        <v>16520.4</v>
      </c>
      <c r="E105" s="53">
        <f>D105-C105</f>
        <v>-2464.3099999999977</v>
      </c>
    </row>
    <row r="106" spans="2:5" ht="26.25" thickBot="1">
      <c r="B106" s="156" t="s">
        <v>119</v>
      </c>
      <c r="C106" s="229">
        <v>1050</v>
      </c>
      <c r="D106" s="229">
        <v>1050</v>
      </c>
      <c r="E106" s="85">
        <f>D106-C106</f>
        <v>0</v>
      </c>
    </row>
    <row r="107" spans="2:5" ht="13.5" thickBot="1">
      <c r="B107" s="153"/>
      <c r="C107" s="304">
        <f>SUM(C102:C106)</f>
        <v>401920.66000000003</v>
      </c>
      <c r="D107" s="306">
        <f>SUM(D102:D106)</f>
        <v>409341.96</v>
      </c>
      <c r="E107" s="306">
        <f>SUM(E102:E106)</f>
        <v>7421.300000000003</v>
      </c>
    </row>
    <row r="108" spans="2:5" ht="13.5" thickBot="1">
      <c r="B108" s="363" t="s">
        <v>795</v>
      </c>
      <c r="C108" s="364"/>
      <c r="D108" s="364"/>
      <c r="E108" s="365"/>
    </row>
    <row r="109" spans="2:5" ht="12.75">
      <c r="B109" s="140" t="s">
        <v>285</v>
      </c>
      <c r="C109" s="141">
        <v>306551.49</v>
      </c>
      <c r="D109" s="155">
        <v>330887.34</v>
      </c>
      <c r="E109" s="253">
        <f aca="true" t="shared" si="1" ref="E109:E115">D109-C109</f>
        <v>24335.850000000035</v>
      </c>
    </row>
    <row r="110" spans="2:5" ht="12.75">
      <c r="B110" s="115" t="s">
        <v>637</v>
      </c>
      <c r="C110" s="5">
        <v>148952.44</v>
      </c>
      <c r="D110" s="33">
        <v>160897.2</v>
      </c>
      <c r="E110" s="53">
        <f t="shared" si="1"/>
        <v>11944.76000000001</v>
      </c>
    </row>
    <row r="111" spans="2:5" ht="12.75">
      <c r="B111" s="115" t="s">
        <v>633</v>
      </c>
      <c r="C111" s="65">
        <v>49647.55</v>
      </c>
      <c r="D111" s="70">
        <v>56013.9</v>
      </c>
      <c r="E111" s="53">
        <f t="shared" si="1"/>
        <v>6366.3499999999985</v>
      </c>
    </row>
    <row r="112" spans="2:5" ht="12.75">
      <c r="B112" s="278" t="s">
        <v>792</v>
      </c>
      <c r="C112" s="122">
        <v>5100</v>
      </c>
      <c r="D112" s="122">
        <v>5600</v>
      </c>
      <c r="E112" s="81">
        <f t="shared" si="1"/>
        <v>500</v>
      </c>
    </row>
    <row r="113" spans="2:5" ht="12.75">
      <c r="B113" s="278" t="s">
        <v>364</v>
      </c>
      <c r="C113" s="122">
        <v>53461.33</v>
      </c>
      <c r="D113" s="122">
        <v>65532.18</v>
      </c>
      <c r="E113" s="53">
        <f t="shared" si="1"/>
        <v>12070.849999999999</v>
      </c>
    </row>
    <row r="114" spans="2:5" ht="12.75">
      <c r="B114" s="115" t="s">
        <v>805</v>
      </c>
      <c r="C114" s="67">
        <v>17003.52</v>
      </c>
      <c r="D114" s="83">
        <v>17003.52</v>
      </c>
      <c r="E114" s="53">
        <f t="shared" si="1"/>
        <v>0</v>
      </c>
    </row>
    <row r="115" spans="2:5" ht="13.5" thickBot="1">
      <c r="B115" s="157" t="s">
        <v>1200</v>
      </c>
      <c r="C115" s="229">
        <v>17079.38</v>
      </c>
      <c r="D115" s="229">
        <v>17079.38</v>
      </c>
      <c r="E115" s="85">
        <f t="shared" si="1"/>
        <v>0</v>
      </c>
    </row>
    <row r="116" spans="2:5" ht="13.5" thickBot="1">
      <c r="B116" s="153"/>
      <c r="C116" s="152">
        <f>SUM(C109:C115)</f>
        <v>597795.71</v>
      </c>
      <c r="D116" s="138">
        <f>SUM(D109:D115)</f>
        <v>653013.5200000001</v>
      </c>
      <c r="E116" s="206">
        <f>SUM(E109:E115)</f>
        <v>55217.81000000004</v>
      </c>
    </row>
    <row r="117" spans="2:5" ht="13.5" thickBot="1">
      <c r="B117" s="363" t="s">
        <v>87</v>
      </c>
      <c r="C117" s="364"/>
      <c r="D117" s="364"/>
      <c r="E117" s="365"/>
    </row>
    <row r="118" spans="2:5" ht="12.75">
      <c r="B118" s="140" t="s">
        <v>285</v>
      </c>
      <c r="C118" s="234">
        <v>293905.07</v>
      </c>
      <c r="D118" s="218">
        <v>296527.37</v>
      </c>
      <c r="E118" s="253">
        <f aca="true" t="shared" si="2" ref="E118:E126">D118-C118</f>
        <v>2622.2999999999884</v>
      </c>
    </row>
    <row r="119" spans="2:5" ht="12.75">
      <c r="B119" s="115" t="s">
        <v>637</v>
      </c>
      <c r="C119" s="10">
        <v>145305.05</v>
      </c>
      <c r="D119" s="98">
        <v>148578</v>
      </c>
      <c r="E119" s="53">
        <f t="shared" si="2"/>
        <v>3272.9500000000116</v>
      </c>
    </row>
    <row r="120" spans="2:5" ht="12.75">
      <c r="B120" s="115" t="s">
        <v>364</v>
      </c>
      <c r="C120" s="10">
        <v>40771.08</v>
      </c>
      <c r="D120" s="98">
        <v>35410.42</v>
      </c>
      <c r="E120" s="53">
        <f t="shared" si="2"/>
        <v>-5360.6600000000035</v>
      </c>
    </row>
    <row r="121" spans="2:5" ht="12.75">
      <c r="B121" s="115" t="s">
        <v>633</v>
      </c>
      <c r="C121" s="10">
        <v>51139.08</v>
      </c>
      <c r="D121" s="98">
        <v>52801.2</v>
      </c>
      <c r="E121" s="81">
        <f t="shared" si="2"/>
        <v>1662.1199999999953</v>
      </c>
    </row>
    <row r="122" spans="2:5" ht="12.75">
      <c r="B122" s="115" t="s">
        <v>556</v>
      </c>
      <c r="C122" s="10">
        <v>19975.4</v>
      </c>
      <c r="D122" s="98">
        <v>21110.55</v>
      </c>
      <c r="E122" s="81">
        <f t="shared" si="2"/>
        <v>1135.1499999999978</v>
      </c>
    </row>
    <row r="123" spans="2:5" ht="12.75">
      <c r="B123" s="115" t="s">
        <v>734</v>
      </c>
      <c r="C123" s="10">
        <v>2400</v>
      </c>
      <c r="D123" s="98">
        <v>2400</v>
      </c>
      <c r="E123" s="53">
        <f t="shared" si="2"/>
        <v>0</v>
      </c>
    </row>
    <row r="124" spans="2:5" ht="12.75">
      <c r="B124" s="115" t="s">
        <v>1036</v>
      </c>
      <c r="C124" s="10">
        <v>12906.22</v>
      </c>
      <c r="D124" s="98">
        <v>12906.22</v>
      </c>
      <c r="E124" s="53">
        <f t="shared" si="2"/>
        <v>0</v>
      </c>
    </row>
    <row r="125" spans="2:5" ht="12.75">
      <c r="B125" s="115" t="s">
        <v>232</v>
      </c>
      <c r="C125" s="125">
        <v>15061.68</v>
      </c>
      <c r="D125" s="125">
        <v>15061.68</v>
      </c>
      <c r="E125" s="53">
        <f t="shared" si="2"/>
        <v>0</v>
      </c>
    </row>
    <row r="126" spans="2:5" ht="13.5" thickBot="1">
      <c r="B126" s="157" t="s">
        <v>29</v>
      </c>
      <c r="C126" s="225">
        <f>3500+2400+3600+3900</f>
        <v>13400</v>
      </c>
      <c r="D126" s="227">
        <f>4200+2400+3600+4200</f>
        <v>14400</v>
      </c>
      <c r="E126" s="262">
        <f t="shared" si="2"/>
        <v>1000</v>
      </c>
    </row>
    <row r="127" spans="2:5" ht="13.5" thickBot="1">
      <c r="B127" s="153"/>
      <c r="C127" s="152">
        <f>SUM(C118:C126)</f>
        <v>594863.5800000001</v>
      </c>
      <c r="D127" s="138">
        <f>SUM(D118:D126)</f>
        <v>599195.4400000001</v>
      </c>
      <c r="E127" s="206">
        <f>SUM(E118:E126)</f>
        <v>4331.85999999999</v>
      </c>
    </row>
    <row r="128" spans="2:5" ht="13.5" thickBot="1">
      <c r="B128" s="366" t="s">
        <v>379</v>
      </c>
      <c r="C128" s="367"/>
      <c r="D128" s="367"/>
      <c r="E128" s="368"/>
    </row>
    <row r="129" spans="2:5" ht="13.5" thickBot="1">
      <c r="B129" s="117"/>
      <c r="C129" s="117">
        <f>C93+C100+C107+C116+C127</f>
        <v>2227597.42</v>
      </c>
      <c r="D129" s="117">
        <f>D93+D100+D107+D116+D127</f>
        <v>2353697.73</v>
      </c>
      <c r="E129" s="117">
        <f>E93+E100+E107+E116+E127</f>
        <v>126100.31000000008</v>
      </c>
    </row>
  </sheetData>
  <sheetProtection/>
  <mergeCells count="23">
    <mergeCell ref="D86:E86"/>
    <mergeCell ref="D82:E82"/>
    <mergeCell ref="D83:E83"/>
    <mergeCell ref="D84:E84"/>
    <mergeCell ref="D85:E85"/>
    <mergeCell ref="A24:D24"/>
    <mergeCell ref="D28:E28"/>
    <mergeCell ref="D78:E78"/>
    <mergeCell ref="D79:E79"/>
    <mergeCell ref="D80:E80"/>
    <mergeCell ref="D81:E81"/>
    <mergeCell ref="A2:B2"/>
    <mergeCell ref="C2:E2"/>
    <mergeCell ref="C3:E3"/>
    <mergeCell ref="B4:E4"/>
    <mergeCell ref="A6:E6"/>
    <mergeCell ref="A23:D23"/>
    <mergeCell ref="B128:E128"/>
    <mergeCell ref="B117:E117"/>
    <mergeCell ref="B89:E89"/>
    <mergeCell ref="B94:E94"/>
    <mergeCell ref="B101:E101"/>
    <mergeCell ref="B108:E108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7.125" style="0" customWidth="1"/>
    <col min="3" max="3" width="11.625" style="0" customWidth="1"/>
    <col min="4" max="4" width="12.125" style="0" customWidth="1"/>
    <col min="5" max="5" width="13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493</v>
      </c>
      <c r="C7" s="26"/>
      <c r="D7" s="24"/>
    </row>
    <row r="8" spans="1:4" ht="15">
      <c r="A8" s="26"/>
      <c r="B8" s="27" t="s">
        <v>115</v>
      </c>
      <c r="C8" s="38">
        <v>4927.3</v>
      </c>
      <c r="D8" s="92" t="s">
        <v>116</v>
      </c>
    </row>
    <row r="9" spans="1:4" ht="15">
      <c r="A9" s="26"/>
      <c r="B9" s="27" t="s">
        <v>654</v>
      </c>
      <c r="C9" s="93">
        <v>595.8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618216.18</v>
      </c>
      <c r="D12" s="155">
        <v>615699.41</v>
      </c>
      <c r="E12" s="242">
        <f aca="true" t="shared" si="0" ref="E12:E18">D12-C12</f>
        <v>-2516.7700000000186</v>
      </c>
    </row>
    <row r="13" spans="1:5" ht="12.75">
      <c r="A13" s="84">
        <v>2</v>
      </c>
      <c r="B13" s="5" t="s">
        <v>637</v>
      </c>
      <c r="C13" s="10">
        <f>301204.14+8.45+83.81</f>
        <v>301296.4</v>
      </c>
      <c r="D13" s="34">
        <f>299471.47+8.45</f>
        <v>299479.92</v>
      </c>
      <c r="E13" s="57">
        <f t="shared" si="0"/>
        <v>-1816.4800000000396</v>
      </c>
    </row>
    <row r="14" spans="1:5" ht="12.75">
      <c r="A14" s="87">
        <v>3</v>
      </c>
      <c r="B14" s="5" t="s">
        <v>633</v>
      </c>
      <c r="C14" s="67">
        <v>74488.5</v>
      </c>
      <c r="D14" s="83">
        <v>77128.35</v>
      </c>
      <c r="E14" s="57">
        <f t="shared" si="0"/>
        <v>2639.850000000006</v>
      </c>
    </row>
    <row r="15" spans="1:5" ht="12.75">
      <c r="A15" s="84">
        <v>4</v>
      </c>
      <c r="B15" s="65" t="s">
        <v>364</v>
      </c>
      <c r="C15" s="94">
        <v>66535.22</v>
      </c>
      <c r="D15" s="83">
        <v>64618.37</v>
      </c>
      <c r="E15" s="57">
        <f t="shared" si="0"/>
        <v>-1916.8499999999985</v>
      </c>
    </row>
    <row r="16" spans="1:5" ht="12.75" customHeight="1">
      <c r="A16" s="87">
        <v>5</v>
      </c>
      <c r="B16" s="351" t="s">
        <v>1007</v>
      </c>
      <c r="C16" s="258">
        <v>10417.73</v>
      </c>
      <c r="D16" s="258">
        <v>10417.73</v>
      </c>
      <c r="E16" s="66">
        <f t="shared" si="0"/>
        <v>0</v>
      </c>
    </row>
    <row r="17" spans="1:5" ht="12.75">
      <c r="A17" s="84">
        <v>6</v>
      </c>
      <c r="B17" s="65" t="s">
        <v>29</v>
      </c>
      <c r="C17" s="94">
        <f>2400+3600+36000</f>
        <v>42000</v>
      </c>
      <c r="D17" s="83">
        <f>2400+3300+36000</f>
        <v>41700</v>
      </c>
      <c r="E17" s="57">
        <f t="shared" si="0"/>
        <v>-300</v>
      </c>
    </row>
    <row r="18" spans="1:5" ht="13.5" thickBot="1">
      <c r="A18" s="87">
        <v>7</v>
      </c>
      <c r="B18" s="5" t="s">
        <v>805</v>
      </c>
      <c r="C18" s="67">
        <f>68430.48+14484.11+32185.76</f>
        <v>115100.34999999999</v>
      </c>
      <c r="D18" s="83">
        <f>82319.25+10634.36+35232.53</f>
        <v>128186.14</v>
      </c>
      <c r="E18" s="57">
        <f t="shared" si="0"/>
        <v>13085.790000000008</v>
      </c>
    </row>
    <row r="19" spans="1:5" ht="13.5" thickBot="1">
      <c r="A19" s="208"/>
      <c r="B19" s="209"/>
      <c r="C19" s="135">
        <f>SUM(C12:C18)</f>
        <v>1228054.3800000001</v>
      </c>
      <c r="D19" s="135">
        <f>SUM(D12:D18)</f>
        <v>1237229.92</v>
      </c>
      <c r="E19" s="136">
        <f>SUM(E12:E18)</f>
        <v>9175.539999999957</v>
      </c>
    </row>
    <row r="20" spans="1:5" ht="12.75">
      <c r="A20" s="385" t="s">
        <v>793</v>
      </c>
      <c r="B20" s="386"/>
      <c r="C20" s="386"/>
      <c r="D20" s="386"/>
      <c r="E20" s="108">
        <f>E135</f>
        <v>152626.46999999988</v>
      </c>
    </row>
    <row r="21" spans="1:5" ht="12.75">
      <c r="A21" s="387" t="s">
        <v>794</v>
      </c>
      <c r="B21" s="384"/>
      <c r="C21" s="384"/>
      <c r="D21" s="384"/>
      <c r="E21" s="259">
        <v>347440.67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368</v>
      </c>
      <c r="C24" s="80">
        <f>C66</f>
        <v>344572.33</v>
      </c>
      <c r="E24" s="29"/>
    </row>
    <row r="25" spans="1:5" ht="12.75" customHeight="1">
      <c r="A25" s="91">
        <v>2</v>
      </c>
      <c r="B25" s="25" t="s">
        <v>344</v>
      </c>
      <c r="C25" s="102">
        <f>C72</f>
        <v>25951.13</v>
      </c>
      <c r="D25" s="388"/>
      <c r="E25" s="389"/>
    </row>
    <row r="26" spans="1:5" ht="12.75">
      <c r="A26" s="84">
        <v>3</v>
      </c>
      <c r="B26" s="9" t="s">
        <v>649</v>
      </c>
      <c r="C26" s="48">
        <v>4741.96</v>
      </c>
      <c r="E26" s="29"/>
    </row>
    <row r="27" spans="1:5" ht="12.75">
      <c r="A27" s="84">
        <v>4</v>
      </c>
      <c r="B27" s="9" t="s">
        <v>122</v>
      </c>
      <c r="C27" s="48">
        <f>(C8*0.55*12)</f>
        <v>32520.180000000004</v>
      </c>
      <c r="E27" s="29"/>
    </row>
    <row r="28" spans="1:5" ht="12.75">
      <c r="A28" s="84">
        <v>5</v>
      </c>
      <c r="B28" s="9" t="s">
        <v>658</v>
      </c>
      <c r="C28" s="79">
        <v>88175.88</v>
      </c>
      <c r="E28" s="29"/>
    </row>
    <row r="29" spans="1:5" ht="25.5">
      <c r="A29" s="91">
        <v>6</v>
      </c>
      <c r="B29" s="25" t="s">
        <v>1128</v>
      </c>
      <c r="C29" s="96">
        <v>2400</v>
      </c>
      <c r="E29" s="29"/>
    </row>
    <row r="30" spans="1:5" ht="25.5">
      <c r="A30" s="91">
        <v>7</v>
      </c>
      <c r="B30" s="25" t="s">
        <v>335</v>
      </c>
      <c r="C30" s="96">
        <v>4200</v>
      </c>
      <c r="E30" s="29"/>
    </row>
    <row r="31" spans="1:5" ht="12.75">
      <c r="A31" s="91">
        <v>8</v>
      </c>
      <c r="B31" s="25" t="s">
        <v>363</v>
      </c>
      <c r="C31" s="79">
        <v>1721.86</v>
      </c>
      <c r="E31" s="29"/>
    </row>
    <row r="32" spans="1:5" ht="12.75">
      <c r="A32" s="91">
        <v>9</v>
      </c>
      <c r="B32" s="25" t="s">
        <v>272</v>
      </c>
      <c r="C32" s="79">
        <v>25300</v>
      </c>
      <c r="E32" s="29"/>
    </row>
    <row r="33" spans="1:5" ht="25.5">
      <c r="A33" s="91">
        <v>10</v>
      </c>
      <c r="B33" s="25" t="s">
        <v>505</v>
      </c>
      <c r="C33" s="79">
        <v>16000</v>
      </c>
      <c r="E33" s="29"/>
    </row>
    <row r="34" spans="1:5" ht="25.5">
      <c r="A34" s="91">
        <v>11</v>
      </c>
      <c r="B34" s="25" t="s">
        <v>327</v>
      </c>
      <c r="C34" s="79">
        <v>8621.95</v>
      </c>
      <c r="E34" s="29"/>
    </row>
    <row r="35" spans="1:5" ht="12.75">
      <c r="A35" s="84">
        <v>12</v>
      </c>
      <c r="B35" s="25" t="s">
        <v>1175</v>
      </c>
      <c r="C35" s="79">
        <v>9834.43</v>
      </c>
      <c r="E35" s="29"/>
    </row>
    <row r="36" spans="1:5" ht="38.25">
      <c r="A36" s="91">
        <v>13</v>
      </c>
      <c r="B36" s="25" t="s">
        <v>504</v>
      </c>
      <c r="C36" s="349">
        <v>4342.04</v>
      </c>
      <c r="E36" s="29"/>
    </row>
    <row r="37" spans="1:5" ht="12.75">
      <c r="A37" s="91">
        <v>14</v>
      </c>
      <c r="B37" s="25" t="s">
        <v>356</v>
      </c>
      <c r="C37" s="349">
        <v>600</v>
      </c>
      <c r="E37" s="29"/>
    </row>
    <row r="38" spans="1:3" ht="12.75">
      <c r="A38" s="50"/>
      <c r="B38" s="20" t="s">
        <v>629</v>
      </c>
      <c r="C38" s="51">
        <f>SUM(C24:C37)</f>
        <v>568981.7600000001</v>
      </c>
    </row>
    <row r="39" spans="1:3" ht="12.75">
      <c r="A39" s="49"/>
      <c r="B39" s="8" t="s">
        <v>965</v>
      </c>
      <c r="C39" s="45"/>
    </row>
    <row r="40" spans="1:3" ht="12.75">
      <c r="A40" s="84">
        <v>1</v>
      </c>
      <c r="B40" s="9" t="s">
        <v>228</v>
      </c>
      <c r="C40" s="48">
        <f>(C19)*15%</f>
        <v>184208.157</v>
      </c>
    </row>
    <row r="41" spans="1:3" ht="12.75">
      <c r="A41" s="84">
        <v>2</v>
      </c>
      <c r="B41" s="9" t="s">
        <v>813</v>
      </c>
      <c r="C41" s="48">
        <f>C78</f>
        <v>10671.82130508311</v>
      </c>
    </row>
    <row r="42" spans="1:3" ht="12.75">
      <c r="A42" s="84">
        <v>3</v>
      </c>
      <c r="B42" s="9" t="s">
        <v>653</v>
      </c>
      <c r="C42" s="48">
        <f>C79</f>
        <v>11591.179222111798</v>
      </c>
    </row>
    <row r="43" spans="1:3" ht="12.75">
      <c r="A43" s="84">
        <v>4</v>
      </c>
      <c r="B43" s="9" t="s">
        <v>1114</v>
      </c>
      <c r="C43" s="52">
        <f>C80</f>
        <v>23530.557263685583</v>
      </c>
    </row>
    <row r="44" spans="1:3" ht="12.75">
      <c r="A44" s="84">
        <v>5</v>
      </c>
      <c r="B44" s="9" t="s">
        <v>162</v>
      </c>
      <c r="C44" s="52">
        <f>C81</f>
        <v>19272.468062938806</v>
      </c>
    </row>
    <row r="45" spans="1:3" ht="12.75">
      <c r="A45" s="84">
        <v>6</v>
      </c>
      <c r="B45" s="9" t="s">
        <v>1051</v>
      </c>
      <c r="C45" s="48">
        <f>C82+C84+C85+C86+C83</f>
        <v>32705.296826909915</v>
      </c>
    </row>
    <row r="46" spans="1:3" ht="12.75">
      <c r="A46" s="49"/>
      <c r="B46" s="74" t="s">
        <v>809</v>
      </c>
      <c r="C46" s="53"/>
    </row>
    <row r="47" spans="1:3" ht="12.75">
      <c r="A47" s="49"/>
      <c r="B47" s="5" t="s">
        <v>655</v>
      </c>
      <c r="C47" s="53"/>
    </row>
    <row r="48" spans="1:3" ht="12.75">
      <c r="A48" s="49"/>
      <c r="B48" s="74" t="s">
        <v>656</v>
      </c>
      <c r="C48" s="53"/>
    </row>
    <row r="49" spans="1:3" ht="12.75">
      <c r="A49" s="49"/>
      <c r="B49" s="74" t="s">
        <v>808</v>
      </c>
      <c r="C49" s="53"/>
    </row>
    <row r="50" spans="1:3" ht="12.75">
      <c r="A50" s="50"/>
      <c r="B50" s="20" t="s">
        <v>629</v>
      </c>
      <c r="C50" s="51">
        <f>C40+C41+C42+C43+C44+C45</f>
        <v>281979.4796807292</v>
      </c>
    </row>
    <row r="51" spans="1:3" ht="12.75">
      <c r="A51" s="49"/>
      <c r="B51" s="7" t="s">
        <v>966</v>
      </c>
      <c r="C51" s="45"/>
    </row>
    <row r="52" spans="1:3" ht="12.75">
      <c r="A52" s="84">
        <v>1</v>
      </c>
      <c r="B52" s="9" t="s">
        <v>631</v>
      </c>
      <c r="C52" s="48">
        <f>C19*2%</f>
        <v>24561.087600000003</v>
      </c>
    </row>
    <row r="53" spans="1:3" ht="12.75">
      <c r="A53" s="84">
        <v>2</v>
      </c>
      <c r="B53" s="9" t="s">
        <v>391</v>
      </c>
      <c r="C53" s="48">
        <f>C54</f>
        <v>72209.597544</v>
      </c>
    </row>
    <row r="54" spans="1:4" ht="12.75">
      <c r="A54" s="49"/>
      <c r="B54" s="5" t="s">
        <v>334</v>
      </c>
      <c r="C54" s="41">
        <f>(C19-C52)*6%</f>
        <v>72209.597544</v>
      </c>
      <c r="D54" s="19"/>
    </row>
    <row r="55" spans="1:3" ht="13.5" thickBot="1">
      <c r="A55" s="54"/>
      <c r="B55" s="55" t="s">
        <v>967</v>
      </c>
      <c r="C55" s="56">
        <f>C52+C53</f>
        <v>96770.685144</v>
      </c>
    </row>
    <row r="56" spans="1:3" ht="12.75">
      <c r="A56" s="23"/>
      <c r="B56" s="4" t="s">
        <v>288</v>
      </c>
      <c r="C56" s="11">
        <f>C38+C50+C55</f>
        <v>947731.9248247293</v>
      </c>
    </row>
    <row r="57" spans="1:3" ht="12.75">
      <c r="A57" s="23"/>
      <c r="B57" s="77"/>
      <c r="C57" s="1"/>
    </row>
    <row r="58" spans="1:3" ht="15">
      <c r="A58" s="23"/>
      <c r="B58" s="14" t="s">
        <v>812</v>
      </c>
      <c r="C58" s="1">
        <v>141669.81</v>
      </c>
    </row>
    <row r="59" spans="1:3" ht="15">
      <c r="A59" s="23"/>
      <c r="B59" s="14" t="s">
        <v>12</v>
      </c>
      <c r="C59" s="1">
        <v>141669.81</v>
      </c>
    </row>
    <row r="60" spans="1:3" ht="15">
      <c r="A60" s="23"/>
      <c r="B60" s="14" t="s">
        <v>94</v>
      </c>
      <c r="C60" s="11">
        <f>C19+C59-C58-C56</f>
        <v>280322.4551752708</v>
      </c>
    </row>
    <row r="61" ht="12.75">
      <c r="B61" s="1" t="s">
        <v>85</v>
      </c>
    </row>
    <row r="62" ht="15" customHeight="1">
      <c r="B62" s="1" t="s">
        <v>1197</v>
      </c>
    </row>
    <row r="63" spans="1:4" ht="12.75">
      <c r="A63" s="2"/>
      <c r="B63" s="2"/>
      <c r="C63" s="2" t="s">
        <v>790</v>
      </c>
      <c r="D63" s="2"/>
    </row>
    <row r="64" spans="1:4" ht="12.75">
      <c r="A64" s="2"/>
      <c r="B64" s="2"/>
      <c r="C64" s="2" t="s">
        <v>494</v>
      </c>
      <c r="D64" s="2"/>
    </row>
    <row r="65" spans="1:5" ht="13.5" thickBot="1">
      <c r="A65" s="37"/>
      <c r="B65" s="37" t="s">
        <v>969</v>
      </c>
      <c r="C65" s="32" t="s">
        <v>886</v>
      </c>
      <c r="D65" s="114">
        <f>C8+C9</f>
        <v>5523.1</v>
      </c>
      <c r="E65" t="s">
        <v>116</v>
      </c>
    </row>
    <row r="66" spans="1:5" ht="12.75">
      <c r="A66" s="60" t="s">
        <v>218</v>
      </c>
      <c r="B66" s="39" t="s">
        <v>165</v>
      </c>
      <c r="C66" s="47">
        <v>344572.33</v>
      </c>
      <c r="D66" s="15"/>
      <c r="E66" s="21"/>
    </row>
    <row r="67" spans="1:5" ht="12.75">
      <c r="A67" s="61"/>
      <c r="B67" s="6" t="s">
        <v>118</v>
      </c>
      <c r="C67" s="41"/>
      <c r="D67" s="15"/>
      <c r="E67" s="21"/>
    </row>
    <row r="68" spans="1:5" ht="12.75">
      <c r="A68" s="62" t="s">
        <v>166</v>
      </c>
      <c r="B68" s="6" t="s">
        <v>380</v>
      </c>
      <c r="C68" s="41">
        <v>39304.5</v>
      </c>
      <c r="D68" s="15"/>
      <c r="E68" s="15"/>
    </row>
    <row r="69" spans="1:5" ht="12.75">
      <c r="A69" s="62" t="s">
        <v>166</v>
      </c>
      <c r="B69" s="6" t="s">
        <v>277</v>
      </c>
      <c r="C69" s="41">
        <v>6000</v>
      </c>
      <c r="D69" s="15"/>
      <c r="E69" s="15"/>
    </row>
    <row r="70" spans="1:5" ht="12.75">
      <c r="A70" s="62" t="s">
        <v>166</v>
      </c>
      <c r="B70" s="6" t="s">
        <v>489</v>
      </c>
      <c r="C70" s="41">
        <v>866.67</v>
      </c>
      <c r="D70" s="15"/>
      <c r="E70" s="15"/>
    </row>
    <row r="71" spans="1:5" ht="13.5" thickBot="1">
      <c r="A71" s="63" t="s">
        <v>166</v>
      </c>
      <c r="B71" s="42" t="s">
        <v>818</v>
      </c>
      <c r="C71" s="46">
        <v>5200.87</v>
      </c>
      <c r="D71" s="15"/>
      <c r="E71" s="15"/>
    </row>
    <row r="72" spans="1:5" ht="12.75">
      <c r="A72" s="60" t="s">
        <v>328</v>
      </c>
      <c r="B72" s="39" t="s">
        <v>343</v>
      </c>
      <c r="C72" s="47">
        <v>25951.13</v>
      </c>
      <c r="D72" s="15"/>
      <c r="E72" s="12"/>
    </row>
    <row r="73" spans="1:5" ht="12.75">
      <c r="A73" s="61"/>
      <c r="B73" s="6" t="s">
        <v>118</v>
      </c>
      <c r="C73" s="41"/>
      <c r="D73" s="15"/>
      <c r="E73" s="12"/>
    </row>
    <row r="74" spans="1:5" ht="12.75">
      <c r="A74" s="62" t="s">
        <v>166</v>
      </c>
      <c r="B74" s="6" t="s">
        <v>380</v>
      </c>
      <c r="C74" s="41">
        <v>490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281.74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281979.4796807293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C40</f>
        <v>184208.157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10671.82130508311</v>
      </c>
      <c r="D78" s="375" t="s">
        <v>495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11591.179222111798</v>
      </c>
      <c r="D79" s="377" t="s">
        <v>496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23530.557263685583</v>
      </c>
      <c r="D80" s="379" t="s">
        <v>497</v>
      </c>
      <c r="E80" s="380"/>
    </row>
    <row r="81" spans="1:5" ht="25.5">
      <c r="A81" s="73" t="s">
        <v>166</v>
      </c>
      <c r="B81" s="72" t="s">
        <v>231</v>
      </c>
      <c r="C81" s="318">
        <f>845684.35/242356.05*D65</f>
        <v>19272.468062938806</v>
      </c>
      <c r="D81" s="381" t="s">
        <v>498</v>
      </c>
      <c r="E81" s="382"/>
    </row>
    <row r="82" spans="1:5" ht="12.75">
      <c r="A82" s="73" t="s">
        <v>166</v>
      </c>
      <c r="B82" s="74" t="s">
        <v>808</v>
      </c>
      <c r="C82" s="318">
        <f>642562.44/242356.05*D65</f>
        <v>14643.482646148095</v>
      </c>
      <c r="D82" s="371" t="s">
        <v>499</v>
      </c>
      <c r="E82" s="372"/>
    </row>
    <row r="83" spans="1:5" ht="12.75">
      <c r="A83" s="73" t="s">
        <v>166</v>
      </c>
      <c r="B83" s="74" t="s">
        <v>826</v>
      </c>
      <c r="C83" s="318">
        <f>51615/196822.43*D65</f>
        <v>1448.3857683293518</v>
      </c>
      <c r="D83" s="371" t="s">
        <v>500</v>
      </c>
      <c r="E83" s="372"/>
    </row>
    <row r="84" spans="1:5" ht="12.75">
      <c r="A84" s="73" t="s">
        <v>166</v>
      </c>
      <c r="B84" s="74" t="s">
        <v>655</v>
      </c>
      <c r="C84" s="318">
        <f>129011.28/196822.43*D65</f>
        <v>3620.228652638828</v>
      </c>
      <c r="D84" s="371" t="s">
        <v>501</v>
      </c>
      <c r="E84" s="372"/>
    </row>
    <row r="85" spans="1:5" ht="12.75">
      <c r="A85" s="73" t="s">
        <v>166</v>
      </c>
      <c r="B85" s="74" t="s">
        <v>656</v>
      </c>
      <c r="C85" s="318">
        <f>164128/196822.43*D65</f>
        <v>4605.650671013462</v>
      </c>
      <c r="D85" s="373" t="s">
        <v>502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298900.58/196822.43*D65</f>
        <v>8387.549088780177</v>
      </c>
      <c r="D86" s="369" t="s">
        <v>503</v>
      </c>
      <c r="E86" s="370"/>
    </row>
    <row r="87" ht="13.5" thickBot="1"/>
    <row r="88" spans="2:5" ht="26.25" thickBot="1">
      <c r="B88" s="143"/>
      <c r="C88" s="159" t="s">
        <v>104</v>
      </c>
      <c r="D88" s="161" t="s">
        <v>306</v>
      </c>
      <c r="E88" s="160" t="s">
        <v>1115</v>
      </c>
    </row>
    <row r="89" spans="2:5" ht="13.5" thickBot="1">
      <c r="B89" s="363" t="s">
        <v>659</v>
      </c>
      <c r="C89" s="364"/>
      <c r="D89" s="364"/>
      <c r="E89" s="365"/>
    </row>
    <row r="90" spans="2:5" ht="12.75">
      <c r="B90" s="140" t="s">
        <v>285</v>
      </c>
      <c r="C90" s="212">
        <v>324861.22</v>
      </c>
      <c r="D90" s="212">
        <v>371078.47</v>
      </c>
      <c r="E90" s="213">
        <f>D90-C90</f>
        <v>46217.25</v>
      </c>
    </row>
    <row r="91" spans="2:5" ht="12.75">
      <c r="B91" s="115" t="s">
        <v>637</v>
      </c>
      <c r="C91" s="18">
        <v>183376.51</v>
      </c>
      <c r="D91" s="18">
        <v>207576.23</v>
      </c>
      <c r="E91" s="214">
        <f>D91-C91</f>
        <v>24199.72</v>
      </c>
    </row>
    <row r="92" spans="2:5" ht="12.75">
      <c r="B92" s="115" t="s">
        <v>633</v>
      </c>
      <c r="C92" s="18">
        <v>2895.5</v>
      </c>
      <c r="D92" s="18">
        <v>3584</v>
      </c>
      <c r="E92" s="214">
        <f>D92-C92</f>
        <v>688.5</v>
      </c>
    </row>
    <row r="93" spans="2:5" ht="13.5" thickBot="1">
      <c r="B93" s="116" t="s">
        <v>805</v>
      </c>
      <c r="C93" s="103">
        <v>58611</v>
      </c>
      <c r="D93" s="103">
        <v>58611</v>
      </c>
      <c r="E93" s="221">
        <f>D93-C93</f>
        <v>0</v>
      </c>
    </row>
    <row r="94" spans="2:5" ht="13.5" thickBot="1">
      <c r="B94" s="143"/>
      <c r="C94" s="167">
        <f>SUM(C90:C93)</f>
        <v>569744.23</v>
      </c>
      <c r="D94" s="167">
        <f>SUM(D90:D93)</f>
        <v>640849.7</v>
      </c>
      <c r="E94" s="167">
        <f>SUM(E90:E93)</f>
        <v>71105.47</v>
      </c>
    </row>
    <row r="95" spans="2:5" ht="13.5" thickBot="1">
      <c r="B95" s="363" t="s">
        <v>660</v>
      </c>
      <c r="C95" s="364"/>
      <c r="D95" s="364"/>
      <c r="E95" s="365"/>
    </row>
    <row r="96" spans="2:5" ht="12.75">
      <c r="B96" s="140" t="s">
        <v>285</v>
      </c>
      <c r="C96" s="212">
        <v>456333.76</v>
      </c>
      <c r="D96" s="223">
        <v>481430.25</v>
      </c>
      <c r="E96" s="213">
        <f aca="true" t="shared" si="1" ref="E96:E102">D96-C96</f>
        <v>25096.48999999999</v>
      </c>
    </row>
    <row r="97" spans="2:5" ht="12.75">
      <c r="B97" s="115" t="s">
        <v>637</v>
      </c>
      <c r="C97" s="18">
        <v>219866.77</v>
      </c>
      <c r="D97" s="18">
        <v>238167.72</v>
      </c>
      <c r="E97" s="214">
        <f t="shared" si="1"/>
        <v>18300.95000000001</v>
      </c>
    </row>
    <row r="98" spans="2:5" ht="12.75">
      <c r="B98" s="115" t="s">
        <v>633</v>
      </c>
      <c r="C98" s="18">
        <v>24141.94</v>
      </c>
      <c r="D98" s="18">
        <v>28071.11</v>
      </c>
      <c r="E98" s="214">
        <f t="shared" si="1"/>
        <v>3929.170000000002</v>
      </c>
    </row>
    <row r="99" spans="2:5" ht="12.75">
      <c r="B99" s="115" t="s">
        <v>113</v>
      </c>
      <c r="C99" s="18">
        <v>7955.97</v>
      </c>
      <c r="D99" s="18">
        <v>10825.07</v>
      </c>
      <c r="E99" s="214">
        <f t="shared" si="1"/>
        <v>2869.0999999999995</v>
      </c>
    </row>
    <row r="100" spans="2:5" ht="12.75">
      <c r="B100" s="115" t="s">
        <v>805</v>
      </c>
      <c r="C100" s="28">
        <v>36665.4</v>
      </c>
      <c r="D100" s="28">
        <v>100909.26</v>
      </c>
      <c r="E100" s="214">
        <f t="shared" si="1"/>
        <v>64243.85999999999</v>
      </c>
    </row>
    <row r="101" spans="2:5" ht="25.5">
      <c r="B101" s="220" t="s">
        <v>119</v>
      </c>
      <c r="C101" s="112">
        <v>2500</v>
      </c>
      <c r="D101" s="112">
        <v>2500</v>
      </c>
      <c r="E101" s="128">
        <f t="shared" si="1"/>
        <v>0</v>
      </c>
    </row>
    <row r="102" spans="2:5" ht="13.5" thickBot="1">
      <c r="B102" s="156" t="s">
        <v>279</v>
      </c>
      <c r="C102" s="224">
        <v>27000</v>
      </c>
      <c r="D102" s="224">
        <v>30000</v>
      </c>
      <c r="E102" s="222">
        <f t="shared" si="1"/>
        <v>3000</v>
      </c>
    </row>
    <row r="103" spans="2:5" ht="13.5" thickBot="1">
      <c r="B103" s="187"/>
      <c r="C103" s="217">
        <f>SUM(C96:C102)</f>
        <v>774463.84</v>
      </c>
      <c r="D103" s="217">
        <f>SUM(D96:D102)</f>
        <v>891903.4099999999</v>
      </c>
      <c r="E103" s="217">
        <f>SUM(E96:E102)</f>
        <v>117439.56999999999</v>
      </c>
    </row>
    <row r="104" spans="2:5" ht="13.5" thickBot="1">
      <c r="B104" s="363" t="s">
        <v>419</v>
      </c>
      <c r="C104" s="364"/>
      <c r="D104" s="364"/>
      <c r="E104" s="365"/>
    </row>
    <row r="105" spans="2:5" ht="12.75">
      <c r="B105" s="140" t="s">
        <v>285</v>
      </c>
      <c r="C105" s="141">
        <v>485239.14</v>
      </c>
      <c r="D105" s="155">
        <v>514494.51</v>
      </c>
      <c r="E105" s="213">
        <f aca="true" t="shared" si="2" ref="E105:E111">D105-C105</f>
        <v>29255.369999999995</v>
      </c>
    </row>
    <row r="106" spans="2:5" ht="12.75">
      <c r="B106" s="115" t="s">
        <v>637</v>
      </c>
      <c r="C106" s="5">
        <v>268043.25</v>
      </c>
      <c r="D106" s="33">
        <v>250150.78</v>
      </c>
      <c r="E106" s="214">
        <f t="shared" si="2"/>
        <v>-17892.47</v>
      </c>
    </row>
    <row r="107" spans="2:5" ht="12.75">
      <c r="B107" s="115" t="s">
        <v>633</v>
      </c>
      <c r="C107" s="65">
        <v>50534.47</v>
      </c>
      <c r="D107" s="70">
        <v>55158.45</v>
      </c>
      <c r="E107" s="214">
        <f t="shared" si="2"/>
        <v>4623.979999999996</v>
      </c>
    </row>
    <row r="108" spans="2:5" ht="12.75">
      <c r="B108" s="115" t="s">
        <v>113</v>
      </c>
      <c r="C108" s="65">
        <v>25131.61</v>
      </c>
      <c r="D108" s="70">
        <v>22075.99</v>
      </c>
      <c r="E108" s="214">
        <f t="shared" si="2"/>
        <v>-3055.619999999999</v>
      </c>
    </row>
    <row r="109" spans="2:5" ht="12.75">
      <c r="B109" s="278" t="s">
        <v>372</v>
      </c>
      <c r="C109" s="122">
        <v>12000</v>
      </c>
      <c r="D109" s="122">
        <v>12000</v>
      </c>
      <c r="E109" s="214">
        <f t="shared" si="2"/>
        <v>0</v>
      </c>
    </row>
    <row r="110" spans="2:5" ht="12.75">
      <c r="B110" s="115" t="s">
        <v>805</v>
      </c>
      <c r="C110" s="67">
        <v>154061.14</v>
      </c>
      <c r="D110" s="83">
        <v>144956.83</v>
      </c>
      <c r="E110" s="128">
        <f t="shared" si="2"/>
        <v>-9104.310000000027</v>
      </c>
    </row>
    <row r="111" spans="2:5" ht="13.5" thickBot="1">
      <c r="B111" s="156" t="s">
        <v>279</v>
      </c>
      <c r="C111" s="122">
        <v>39116.61</v>
      </c>
      <c r="D111" s="122">
        <v>36116.61</v>
      </c>
      <c r="E111" s="222">
        <f t="shared" si="2"/>
        <v>-3000</v>
      </c>
    </row>
    <row r="112" spans="2:5" ht="13.5" thickBot="1">
      <c r="B112" s="187"/>
      <c r="C112" s="174">
        <f>SUM(C105:C111)</f>
        <v>1034126.22</v>
      </c>
      <c r="D112" s="174">
        <f>SUM(D105:D111)</f>
        <v>1034953.1699999999</v>
      </c>
      <c r="E112" s="217">
        <f>SUM(E105:E111)</f>
        <v>826.9499999999643</v>
      </c>
    </row>
    <row r="113" spans="2:5" ht="13.5" thickBot="1">
      <c r="B113" s="363" t="s">
        <v>381</v>
      </c>
      <c r="C113" s="364"/>
      <c r="D113" s="364"/>
      <c r="E113" s="365"/>
    </row>
    <row r="114" spans="2:5" ht="12.75">
      <c r="B114" s="140" t="s">
        <v>285</v>
      </c>
      <c r="C114" s="141">
        <v>712764.13</v>
      </c>
      <c r="D114" s="155">
        <v>708416.79</v>
      </c>
      <c r="E114" s="213">
        <f aca="true" t="shared" si="3" ref="E114:E123">D114-C114</f>
        <v>-4347.339999999967</v>
      </c>
    </row>
    <row r="115" spans="2:5" ht="12.75">
      <c r="B115" s="115" t="s">
        <v>637</v>
      </c>
      <c r="C115" s="5">
        <v>345628.58</v>
      </c>
      <c r="D115" s="33">
        <v>345068.93</v>
      </c>
      <c r="E115" s="214">
        <f t="shared" si="3"/>
        <v>-559.6500000000233</v>
      </c>
    </row>
    <row r="116" spans="2:5" ht="12.75">
      <c r="B116" s="115" t="s">
        <v>633</v>
      </c>
      <c r="C116" s="65">
        <v>82533.2</v>
      </c>
      <c r="D116" s="70">
        <v>83864.08</v>
      </c>
      <c r="E116" s="214">
        <f t="shared" si="3"/>
        <v>1330.8800000000047</v>
      </c>
    </row>
    <row r="117" spans="2:5" ht="12.75">
      <c r="B117" s="115" t="s">
        <v>163</v>
      </c>
      <c r="C117" s="65">
        <v>74.22</v>
      </c>
      <c r="D117" s="70">
        <v>163.04</v>
      </c>
      <c r="E117" s="214">
        <f t="shared" si="3"/>
        <v>88.82</v>
      </c>
    </row>
    <row r="118" spans="2:5" ht="12.75">
      <c r="B118" s="115" t="s">
        <v>805</v>
      </c>
      <c r="C118" s="67">
        <v>204036.85</v>
      </c>
      <c r="D118" s="83">
        <v>151554.2</v>
      </c>
      <c r="E118" s="214">
        <f t="shared" si="3"/>
        <v>-52482.649999999994</v>
      </c>
    </row>
    <row r="119" spans="2:5" ht="12.75">
      <c r="B119" s="116" t="s">
        <v>364</v>
      </c>
      <c r="C119" s="94">
        <v>64292.26</v>
      </c>
      <c r="D119" s="83">
        <v>75257.92</v>
      </c>
      <c r="E119" s="214">
        <f t="shared" si="3"/>
        <v>10965.659999999996</v>
      </c>
    </row>
    <row r="120" spans="2:5" ht="12.75">
      <c r="B120" s="116" t="s">
        <v>415</v>
      </c>
      <c r="C120" s="94">
        <v>2475.19</v>
      </c>
      <c r="D120" s="83">
        <v>1058.41</v>
      </c>
      <c r="E120" s="214">
        <f t="shared" si="3"/>
        <v>-1416.78</v>
      </c>
    </row>
    <row r="121" spans="2:5" ht="12.75">
      <c r="B121" s="278" t="s">
        <v>792</v>
      </c>
      <c r="C121" s="122">
        <v>1500</v>
      </c>
      <c r="D121" s="122">
        <v>2000</v>
      </c>
      <c r="E121" s="214">
        <f t="shared" si="3"/>
        <v>500</v>
      </c>
    </row>
    <row r="122" spans="2:5" ht="12.75">
      <c r="B122" s="116" t="s">
        <v>1200</v>
      </c>
      <c r="C122" s="122">
        <v>23518.67</v>
      </c>
      <c r="D122" s="122">
        <v>23518.67</v>
      </c>
      <c r="E122" s="128">
        <f t="shared" si="3"/>
        <v>0</v>
      </c>
    </row>
    <row r="123" spans="2:5" ht="13.5" thickBot="1">
      <c r="B123" s="156" t="s">
        <v>279</v>
      </c>
      <c r="C123" s="229">
        <v>45000</v>
      </c>
      <c r="D123" s="229">
        <v>45000</v>
      </c>
      <c r="E123" s="219">
        <f t="shared" si="3"/>
        <v>0</v>
      </c>
    </row>
    <row r="124" spans="2:5" ht="13.5" thickBot="1">
      <c r="B124" s="187"/>
      <c r="C124" s="217">
        <f>SUM(C114:C123)</f>
        <v>1481823.0999999999</v>
      </c>
      <c r="D124" s="217">
        <f>SUM(D114:D123)</f>
        <v>1435902.0399999998</v>
      </c>
      <c r="E124" s="217">
        <f>SUM(E114:E123)</f>
        <v>-45921.05999999998</v>
      </c>
    </row>
    <row r="125" spans="2:5" ht="13.5" thickBot="1">
      <c r="B125" s="363" t="s">
        <v>87</v>
      </c>
      <c r="C125" s="364"/>
      <c r="D125" s="364"/>
      <c r="E125" s="365"/>
    </row>
    <row r="126" spans="2:5" ht="12.75">
      <c r="B126" s="140" t="s">
        <v>285</v>
      </c>
      <c r="C126" s="234">
        <v>618216.18</v>
      </c>
      <c r="D126" s="155">
        <v>615699.41</v>
      </c>
      <c r="E126" s="242">
        <f aca="true" t="shared" si="4" ref="E126:E132">D126-C126</f>
        <v>-2516.7700000000186</v>
      </c>
    </row>
    <row r="127" spans="2:5" ht="12.75">
      <c r="B127" s="115" t="s">
        <v>637</v>
      </c>
      <c r="C127" s="10">
        <f>301204.14+8.45+83.81</f>
        <v>301296.4</v>
      </c>
      <c r="D127" s="34">
        <f>299471.47+8.45</f>
        <v>299479.92</v>
      </c>
      <c r="E127" s="57">
        <f t="shared" si="4"/>
        <v>-1816.4800000000396</v>
      </c>
    </row>
    <row r="128" spans="2:5" ht="12.75">
      <c r="B128" s="115" t="s">
        <v>633</v>
      </c>
      <c r="C128" s="67">
        <v>74488.5</v>
      </c>
      <c r="D128" s="83">
        <v>77128.35</v>
      </c>
      <c r="E128" s="57">
        <f t="shared" si="4"/>
        <v>2639.850000000006</v>
      </c>
    </row>
    <row r="129" spans="2:5" ht="12.75">
      <c r="B129" s="116" t="s">
        <v>364</v>
      </c>
      <c r="C129" s="94">
        <v>66535.22</v>
      </c>
      <c r="D129" s="83">
        <v>64618.37</v>
      </c>
      <c r="E129" s="57">
        <f t="shared" si="4"/>
        <v>-1916.8499999999985</v>
      </c>
    </row>
    <row r="130" spans="2:5" ht="12.75" customHeight="1">
      <c r="B130" s="352" t="s">
        <v>1007</v>
      </c>
      <c r="C130" s="258">
        <v>10417.73</v>
      </c>
      <c r="D130" s="258">
        <v>10417.73</v>
      </c>
      <c r="E130" s="57">
        <f t="shared" si="4"/>
        <v>0</v>
      </c>
    </row>
    <row r="131" spans="2:5" ht="12.75" customHeight="1">
      <c r="B131" s="116" t="s">
        <v>29</v>
      </c>
      <c r="C131" s="94">
        <f>2400+3600+36000</f>
        <v>42000</v>
      </c>
      <c r="D131" s="83">
        <f>2400+3300+36000</f>
        <v>41700</v>
      </c>
      <c r="E131" s="57">
        <f t="shared" si="4"/>
        <v>-300</v>
      </c>
    </row>
    <row r="132" spans="2:5" ht="13.5" thickBot="1">
      <c r="B132" s="157" t="s">
        <v>805</v>
      </c>
      <c r="C132" s="225">
        <f>68430.48+14484.11+32185.76</f>
        <v>115100.34999999999</v>
      </c>
      <c r="D132" s="226">
        <f>82319.25+10634.36+35232.53</f>
        <v>128186.14</v>
      </c>
      <c r="E132" s="222">
        <f t="shared" si="4"/>
        <v>13085.790000000008</v>
      </c>
    </row>
    <row r="133" spans="2:5" ht="13.5" thickBot="1">
      <c r="B133" s="177"/>
      <c r="C133" s="217">
        <f>SUM(C126:C132)</f>
        <v>1228054.3800000001</v>
      </c>
      <c r="D133" s="217">
        <f>SUM(D126:D132)</f>
        <v>1237229.92</v>
      </c>
      <c r="E133" s="217">
        <f>SUM(E126:E132)</f>
        <v>9175.539999999957</v>
      </c>
    </row>
    <row r="134" spans="2:5" ht="13.5" thickBot="1">
      <c r="B134" s="366" t="s">
        <v>379</v>
      </c>
      <c r="C134" s="367"/>
      <c r="D134" s="367"/>
      <c r="E134" s="368"/>
    </row>
    <row r="135" spans="2:5" ht="13.5" thickBot="1">
      <c r="B135" s="153"/>
      <c r="C135" s="176">
        <f>C94+C103+C112+C124+C133</f>
        <v>5088211.77</v>
      </c>
      <c r="D135" s="176">
        <f>D94+D103+D112+D124+D133</f>
        <v>5240838.239999999</v>
      </c>
      <c r="E135" s="176">
        <f>E94+E103+E112+E124+E133</f>
        <v>152626.46999999988</v>
      </c>
    </row>
  </sheetData>
  <sheetProtection/>
  <mergeCells count="23">
    <mergeCell ref="B104:E104"/>
    <mergeCell ref="D82:E82"/>
    <mergeCell ref="D83:E83"/>
    <mergeCell ref="D84:E84"/>
    <mergeCell ref="D85:E85"/>
    <mergeCell ref="B113:E113"/>
    <mergeCell ref="B134:E134"/>
    <mergeCell ref="B125:E125"/>
    <mergeCell ref="D86:E86"/>
    <mergeCell ref="B89:E89"/>
    <mergeCell ref="B95:E95"/>
    <mergeCell ref="A21:D21"/>
    <mergeCell ref="D25:E25"/>
    <mergeCell ref="D78:E78"/>
    <mergeCell ref="D79:E79"/>
    <mergeCell ref="D80:E80"/>
    <mergeCell ref="D81:E81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6.125" style="0" customWidth="1"/>
    <col min="3" max="3" width="10.75390625" style="0" customWidth="1"/>
    <col min="4" max="4" width="13.00390625" style="0" customWidth="1"/>
    <col min="5" max="5" width="12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911</v>
      </c>
      <c r="C7" s="26"/>
      <c r="D7" s="24"/>
    </row>
    <row r="8" spans="1:4" ht="15">
      <c r="A8" s="26"/>
      <c r="B8" s="27" t="s">
        <v>115</v>
      </c>
      <c r="C8" s="38">
        <v>1251.2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140808.7</v>
      </c>
      <c r="D11" s="218">
        <v>154971.4</v>
      </c>
      <c r="E11" s="242">
        <f aca="true" t="shared" si="0" ref="E11:E17">D11-C11</f>
        <v>14162.699999999983</v>
      </c>
    </row>
    <row r="12" spans="1:5" ht="12.75">
      <c r="A12" s="84">
        <v>2</v>
      </c>
      <c r="B12" s="5" t="s">
        <v>637</v>
      </c>
      <c r="C12" s="10">
        <v>68853.7</v>
      </c>
      <c r="D12" s="98">
        <v>76048.44</v>
      </c>
      <c r="E12" s="57">
        <f t="shared" si="0"/>
        <v>7194.740000000005</v>
      </c>
    </row>
    <row r="13" spans="1:5" ht="12.75">
      <c r="A13" s="84">
        <v>3</v>
      </c>
      <c r="B13" s="5" t="s">
        <v>364</v>
      </c>
      <c r="C13" s="10">
        <v>65042.04</v>
      </c>
      <c r="D13" s="98">
        <v>65111.49</v>
      </c>
      <c r="E13" s="57">
        <f t="shared" si="0"/>
        <v>69.44999999999709</v>
      </c>
    </row>
    <row r="14" spans="1:5" ht="12.75">
      <c r="A14" s="84">
        <v>4</v>
      </c>
      <c r="B14" s="5" t="s">
        <v>633</v>
      </c>
      <c r="C14" s="10">
        <v>11505.2</v>
      </c>
      <c r="D14" s="98">
        <v>13487.04</v>
      </c>
      <c r="E14" s="57">
        <f t="shared" si="0"/>
        <v>1981.8400000000001</v>
      </c>
    </row>
    <row r="15" spans="1:5" ht="12.75">
      <c r="A15" s="84">
        <v>5</v>
      </c>
      <c r="B15" s="105" t="s">
        <v>1087</v>
      </c>
      <c r="C15" s="10">
        <v>14504.61</v>
      </c>
      <c r="D15" s="98">
        <v>16422.32</v>
      </c>
      <c r="E15" s="57">
        <f t="shared" si="0"/>
        <v>1917.7099999999991</v>
      </c>
    </row>
    <row r="16" spans="1:5" ht="12.75">
      <c r="A16" s="84">
        <v>6</v>
      </c>
      <c r="B16" s="5" t="s">
        <v>1019</v>
      </c>
      <c r="C16" s="10">
        <v>6537.15</v>
      </c>
      <c r="D16" s="98">
        <v>6537.15</v>
      </c>
      <c r="E16" s="57">
        <f t="shared" si="0"/>
        <v>0</v>
      </c>
    </row>
    <row r="17" spans="1:5" ht="12.75">
      <c r="A17" s="84">
        <v>7</v>
      </c>
      <c r="B17" s="5" t="s">
        <v>29</v>
      </c>
      <c r="C17" s="10">
        <f>3500+2400+3600</f>
        <v>9500</v>
      </c>
      <c r="D17" s="98">
        <f>4200+2400+3300</f>
        <v>9900</v>
      </c>
      <c r="E17" s="57">
        <f t="shared" si="0"/>
        <v>400</v>
      </c>
    </row>
    <row r="18" spans="1:5" ht="13.5" thickBot="1">
      <c r="A18" s="250"/>
      <c r="B18" s="251"/>
      <c r="C18" s="118">
        <f>SUM(C11:C17)</f>
        <v>316751.4</v>
      </c>
      <c r="D18" s="118">
        <f>SUM(D11:D17)</f>
        <v>342477.84</v>
      </c>
      <c r="E18" s="137">
        <f>SUM(E11:E17)</f>
        <v>25726.439999999984</v>
      </c>
    </row>
    <row r="19" spans="1:5" ht="12.75">
      <c r="A19" s="385" t="s">
        <v>793</v>
      </c>
      <c r="B19" s="386"/>
      <c r="C19" s="386"/>
      <c r="D19" s="386"/>
      <c r="E19" s="108">
        <f>E119</f>
        <v>62355.999999999956</v>
      </c>
    </row>
    <row r="20" spans="1:5" ht="12.75">
      <c r="A20" s="387" t="s">
        <v>794</v>
      </c>
      <c r="B20" s="384"/>
      <c r="C20" s="384"/>
      <c r="D20" s="384"/>
      <c r="E20" s="22">
        <v>101062.09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12.75">
      <c r="A23" s="86">
        <v>1</v>
      </c>
      <c r="B23" s="64" t="s">
        <v>446</v>
      </c>
      <c r="C23" s="80">
        <f>C62</f>
        <v>110044.68</v>
      </c>
      <c r="E23" s="29"/>
    </row>
    <row r="24" spans="1:5" ht="12.75">
      <c r="A24" s="91">
        <v>2</v>
      </c>
      <c r="B24" s="25" t="s">
        <v>344</v>
      </c>
      <c r="C24" s="102">
        <f>C67</f>
        <v>5401.9</v>
      </c>
      <c r="D24" s="388"/>
      <c r="E24" s="389"/>
    </row>
    <row r="25" spans="1:5" ht="12.75">
      <c r="A25" s="84">
        <v>3</v>
      </c>
      <c r="B25" s="9" t="s">
        <v>649</v>
      </c>
      <c r="C25" s="48">
        <v>6763.04</v>
      </c>
      <c r="E25" s="29"/>
    </row>
    <row r="26" spans="1:5" ht="12.75">
      <c r="A26" s="84">
        <v>4</v>
      </c>
      <c r="B26" s="9" t="s">
        <v>122</v>
      </c>
      <c r="C26" s="48">
        <f>(C8*0.55*12)</f>
        <v>8257.920000000002</v>
      </c>
      <c r="E26" s="29"/>
    </row>
    <row r="27" spans="1:5" ht="12.75">
      <c r="A27" s="84">
        <v>5</v>
      </c>
      <c r="B27" s="9" t="s">
        <v>658</v>
      </c>
      <c r="C27" s="79">
        <v>23371.92</v>
      </c>
      <c r="E27" s="29"/>
    </row>
    <row r="28" spans="1:5" ht="12.75">
      <c r="A28" s="91">
        <v>6</v>
      </c>
      <c r="B28" s="25" t="s">
        <v>61</v>
      </c>
      <c r="C28" s="203">
        <v>1800</v>
      </c>
      <c r="E28" s="29"/>
    </row>
    <row r="29" spans="1:5" ht="12.75">
      <c r="A29" s="91">
        <v>7</v>
      </c>
      <c r="B29" s="25" t="s">
        <v>909</v>
      </c>
      <c r="C29" s="96">
        <v>16878.42</v>
      </c>
      <c r="E29" s="29"/>
    </row>
    <row r="30" spans="1:5" ht="12.75">
      <c r="A30" s="91">
        <v>8</v>
      </c>
      <c r="B30" s="346" t="s">
        <v>26</v>
      </c>
      <c r="C30" s="96">
        <v>600</v>
      </c>
      <c r="E30" s="29"/>
    </row>
    <row r="31" spans="1:5" ht="25.5">
      <c r="A31" s="91">
        <v>9</v>
      </c>
      <c r="B31" s="25" t="s">
        <v>60</v>
      </c>
      <c r="C31" s="96">
        <v>10700</v>
      </c>
      <c r="E31" s="29"/>
    </row>
    <row r="32" spans="1:5" ht="12.75">
      <c r="A32" s="91">
        <v>10</v>
      </c>
      <c r="B32" s="25" t="s">
        <v>1092</v>
      </c>
      <c r="C32" s="96">
        <v>258</v>
      </c>
      <c r="E32" s="29"/>
    </row>
    <row r="33" spans="1:5" ht="25.5">
      <c r="A33" s="91">
        <v>11</v>
      </c>
      <c r="B33" s="25" t="s">
        <v>327</v>
      </c>
      <c r="C33" s="79">
        <v>1756.32</v>
      </c>
      <c r="E33" s="29"/>
    </row>
    <row r="34" spans="1:5" ht="12.75">
      <c r="A34" s="84">
        <v>12</v>
      </c>
      <c r="B34" s="25" t="s">
        <v>1175</v>
      </c>
      <c r="C34" s="79">
        <v>2003.31</v>
      </c>
      <c r="E34" s="29"/>
    </row>
    <row r="35" spans="1:3" ht="12.75">
      <c r="A35" s="50"/>
      <c r="B35" s="20" t="s">
        <v>629</v>
      </c>
      <c r="C35" s="51">
        <f>SUM(C23:C34)</f>
        <v>187835.50999999995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(C18)*15%</f>
        <v>47512.71</v>
      </c>
    </row>
    <row r="38" spans="1:3" ht="12.75">
      <c r="A38" s="84">
        <v>2</v>
      </c>
      <c r="B38" s="9" t="s">
        <v>813</v>
      </c>
      <c r="C38" s="48">
        <f>C73</f>
        <v>2709.918782481275</v>
      </c>
    </row>
    <row r="39" spans="1:3" ht="12.75">
      <c r="A39" s="84">
        <v>3</v>
      </c>
      <c r="B39" s="9" t="s">
        <v>653</v>
      </c>
      <c r="C39" s="48">
        <f>C74</f>
        <v>2943.373336859189</v>
      </c>
    </row>
    <row r="40" spans="1:3" ht="12.75">
      <c r="A40" s="84">
        <v>4</v>
      </c>
      <c r="B40" s="9" t="s">
        <v>1114</v>
      </c>
      <c r="C40" s="52">
        <f>C75</f>
        <v>5975.165556861445</v>
      </c>
    </row>
    <row r="41" spans="1:3" ht="12.75">
      <c r="A41" s="84">
        <v>5</v>
      </c>
      <c r="B41" s="9" t="s">
        <v>162</v>
      </c>
      <c r="C41" s="52">
        <f>C76</f>
        <v>4365.974188471879</v>
      </c>
    </row>
    <row r="42" spans="1:3" ht="12.75">
      <c r="A42" s="84">
        <v>6</v>
      </c>
      <c r="B42" s="9" t="s">
        <v>1051</v>
      </c>
      <c r="C42" s="48">
        <f>C77+C79+C80+C81+C78</f>
        <v>7409.039740332364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70916.18160500615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C18*2%</f>
        <v>6335.028</v>
      </c>
    </row>
    <row r="50" spans="1:3" ht="12.75">
      <c r="A50" s="84">
        <v>2</v>
      </c>
      <c r="B50" s="9" t="s">
        <v>391</v>
      </c>
      <c r="C50" s="48">
        <f>C51</f>
        <v>18624.982320000003</v>
      </c>
    </row>
    <row r="51" spans="1:4" ht="12.75">
      <c r="A51" s="49"/>
      <c r="B51" s="5" t="s">
        <v>334</v>
      </c>
      <c r="C51" s="41">
        <f>(C18-C49)*6%</f>
        <v>18624.982320000003</v>
      </c>
      <c r="D51" s="19"/>
    </row>
    <row r="52" spans="1:3" ht="13.5" thickBot="1">
      <c r="A52" s="54"/>
      <c r="B52" s="55" t="s">
        <v>967</v>
      </c>
      <c r="C52" s="56">
        <f>C49+C50</f>
        <v>24960.01032</v>
      </c>
    </row>
    <row r="53" spans="1:3" ht="12.75">
      <c r="A53" s="23"/>
      <c r="B53" s="4" t="s">
        <v>288</v>
      </c>
      <c r="C53" s="11">
        <f>C35+C47+C52</f>
        <v>283711.7019250061</v>
      </c>
    </row>
    <row r="54" spans="1:3" ht="12.75">
      <c r="A54" s="23"/>
      <c r="B54" s="77"/>
      <c r="C54" s="1"/>
    </row>
    <row r="55" spans="1:3" ht="15">
      <c r="A55" s="23"/>
      <c r="B55" s="14" t="s">
        <v>812</v>
      </c>
      <c r="C55" s="11">
        <v>324253.64</v>
      </c>
    </row>
    <row r="56" spans="1:3" ht="15">
      <c r="A56" s="23"/>
      <c r="B56" s="14" t="s">
        <v>180</v>
      </c>
      <c r="C56" s="11">
        <f>C55+C53-C18</f>
        <v>291213.9419250061</v>
      </c>
    </row>
    <row r="57" ht="12.75">
      <c r="B57" s="1" t="s">
        <v>85</v>
      </c>
    </row>
    <row r="58" ht="18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912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1251.2</v>
      </c>
      <c r="E61" t="s">
        <v>116</v>
      </c>
    </row>
    <row r="62" spans="1:5" ht="12.75">
      <c r="A62" s="60" t="s">
        <v>218</v>
      </c>
      <c r="B62" s="39" t="s">
        <v>287</v>
      </c>
      <c r="C62" s="47">
        <v>110044.68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2449.75</v>
      </c>
      <c r="D64" s="15"/>
      <c r="E64" s="15"/>
    </row>
    <row r="65" spans="1:5" ht="12.75">
      <c r="A65" s="62" t="s">
        <v>166</v>
      </c>
      <c r="B65" s="6" t="s">
        <v>371</v>
      </c>
      <c r="C65" s="41">
        <v>11052.07</v>
      </c>
      <c r="D65" s="15"/>
      <c r="E65" s="15"/>
    </row>
    <row r="66" spans="1:5" ht="13.5" thickBot="1">
      <c r="A66" s="63" t="s">
        <v>166</v>
      </c>
      <c r="B66" s="42" t="s">
        <v>818</v>
      </c>
      <c r="C66" s="46">
        <v>1315.26</v>
      </c>
      <c r="D66" s="15"/>
      <c r="E66" s="15"/>
    </row>
    <row r="67" spans="1:5" ht="12.75">
      <c r="A67" s="60" t="s">
        <v>328</v>
      </c>
      <c r="B67" s="39" t="s">
        <v>343</v>
      </c>
      <c r="C67" s="47">
        <v>5401.9</v>
      </c>
      <c r="D67" s="15"/>
      <c r="E67" s="12"/>
    </row>
    <row r="68" spans="1:5" ht="12.75">
      <c r="A68" s="61"/>
      <c r="B68" s="6" t="s">
        <v>118</v>
      </c>
      <c r="C68" s="41"/>
      <c r="D68" s="15"/>
      <c r="E68" s="12"/>
    </row>
    <row r="69" spans="1:5" ht="12.75">
      <c r="A69" s="62" t="s">
        <v>166</v>
      </c>
      <c r="B69" s="6" t="s">
        <v>380</v>
      </c>
      <c r="C69" s="41">
        <v>226</v>
      </c>
      <c r="D69" s="15"/>
      <c r="E69" s="12"/>
    </row>
    <row r="70" spans="1:5" ht="13.5" thickBot="1">
      <c r="A70" s="63" t="s">
        <v>166</v>
      </c>
      <c r="B70" s="42" t="s">
        <v>818</v>
      </c>
      <c r="C70" s="46">
        <v>71.54</v>
      </c>
      <c r="D70" s="15"/>
      <c r="E70" s="15"/>
    </row>
    <row r="71" spans="1:5" ht="12.75">
      <c r="A71" s="300" t="s">
        <v>787</v>
      </c>
      <c r="B71" s="97" t="s">
        <v>1050</v>
      </c>
      <c r="C71" s="82">
        <f>C72+C73+C75+C74+C76+C77+C79+C80+C81+C78</f>
        <v>70916.18160500615</v>
      </c>
      <c r="D71" s="15"/>
      <c r="E71" s="12"/>
    </row>
    <row r="72" spans="1:5" ht="13.5" thickBot="1">
      <c r="A72" s="40" t="s">
        <v>166</v>
      </c>
      <c r="B72" s="6" t="s">
        <v>227</v>
      </c>
      <c r="C72" s="41">
        <f>C37</f>
        <v>47512.71</v>
      </c>
      <c r="D72" s="15"/>
      <c r="E72" s="12"/>
    </row>
    <row r="73" spans="1:5" ht="12.75">
      <c r="A73" s="40" t="s">
        <v>166</v>
      </c>
      <c r="B73" s="6" t="s">
        <v>370</v>
      </c>
      <c r="C73" s="317">
        <f>401410.25/185335.63*C8</f>
        <v>2709.918782481275</v>
      </c>
      <c r="D73" s="375" t="s">
        <v>913</v>
      </c>
      <c r="E73" s="376"/>
    </row>
    <row r="74" spans="1:5" ht="12.75">
      <c r="A74" s="73" t="s">
        <v>166</v>
      </c>
      <c r="B74" s="74" t="s">
        <v>397</v>
      </c>
      <c r="C74" s="317">
        <f>435991.01/185335.63*C8</f>
        <v>2943.373336859189</v>
      </c>
      <c r="D74" s="377" t="s">
        <v>914</v>
      </c>
      <c r="E74" s="378"/>
    </row>
    <row r="75" spans="1:5" ht="12.75">
      <c r="A75" s="71" t="s">
        <v>166</v>
      </c>
      <c r="B75" s="72" t="s">
        <v>416</v>
      </c>
      <c r="C75" s="317">
        <f>1082167/226605.83*C8</f>
        <v>5975.165556861445</v>
      </c>
      <c r="D75" s="379" t="s">
        <v>915</v>
      </c>
      <c r="E75" s="380"/>
    </row>
    <row r="76" spans="1:5" ht="25.5">
      <c r="A76" s="73" t="s">
        <v>166</v>
      </c>
      <c r="B76" s="72" t="s">
        <v>231</v>
      </c>
      <c r="C76" s="318">
        <f>845684.35/242356.05*D61</f>
        <v>4365.974188471879</v>
      </c>
      <c r="D76" s="381" t="s">
        <v>916</v>
      </c>
      <c r="E76" s="382"/>
    </row>
    <row r="77" spans="1:5" ht="12.75">
      <c r="A77" s="73" t="s">
        <v>166</v>
      </c>
      <c r="B77" s="74" t="s">
        <v>808</v>
      </c>
      <c r="C77" s="318">
        <f>642562.44/242356.05*D61</f>
        <v>3317.3264085134247</v>
      </c>
      <c r="D77" s="371" t="s">
        <v>917</v>
      </c>
      <c r="E77" s="372"/>
    </row>
    <row r="78" spans="1:5" ht="12.75">
      <c r="A78" s="73" t="s">
        <v>166</v>
      </c>
      <c r="B78" s="74" t="s">
        <v>826</v>
      </c>
      <c r="C78" s="318">
        <f>51615/196822.43*D61</f>
        <v>328.1165058271052</v>
      </c>
      <c r="D78" s="371" t="s">
        <v>918</v>
      </c>
      <c r="E78" s="372"/>
    </row>
    <row r="79" spans="1:5" ht="12.75">
      <c r="A79" s="73" t="s">
        <v>166</v>
      </c>
      <c r="B79" s="74" t="s">
        <v>655</v>
      </c>
      <c r="C79" s="318">
        <f>129011.28/196822.43*D61</f>
        <v>820.1245840527424</v>
      </c>
      <c r="D79" s="371" t="s">
        <v>919</v>
      </c>
      <c r="E79" s="372"/>
    </row>
    <row r="80" spans="1:5" ht="12.75">
      <c r="A80" s="73" t="s">
        <v>166</v>
      </c>
      <c r="B80" s="74" t="s">
        <v>656</v>
      </c>
      <c r="C80" s="318">
        <f>164128/196822.43*D61</f>
        <v>1043.36153963753</v>
      </c>
      <c r="D80" s="373" t="s">
        <v>920</v>
      </c>
      <c r="E80" s="374"/>
    </row>
    <row r="81" spans="1:5" ht="13.5" thickBot="1">
      <c r="A81" s="75" t="s">
        <v>166</v>
      </c>
      <c r="B81" s="76" t="s">
        <v>809</v>
      </c>
      <c r="C81" s="319">
        <f>298900.58/196822.43*D61</f>
        <v>1900.110702301562</v>
      </c>
      <c r="D81" s="369" t="s">
        <v>921</v>
      </c>
      <c r="E81" s="370"/>
    </row>
    <row r="82" ht="13.5" thickBot="1"/>
    <row r="83" spans="2:5" ht="24.75" thickBot="1">
      <c r="B83" s="143"/>
      <c r="C83" s="159" t="s">
        <v>104</v>
      </c>
      <c r="D83" s="161" t="s">
        <v>306</v>
      </c>
      <c r="E83" s="160" t="s">
        <v>1115</v>
      </c>
    </row>
    <row r="84" spans="2:5" ht="13.5" thickBot="1">
      <c r="B84" s="363" t="s">
        <v>659</v>
      </c>
      <c r="C84" s="364"/>
      <c r="D84" s="364"/>
      <c r="E84" s="365"/>
    </row>
    <row r="85" spans="2:5" ht="12.75">
      <c r="B85" s="140" t="s">
        <v>285</v>
      </c>
      <c r="C85" s="212">
        <v>81922.1</v>
      </c>
      <c r="D85" s="212">
        <v>93397.03</v>
      </c>
      <c r="E85" s="213">
        <f>D85-C85</f>
        <v>11474.929999999993</v>
      </c>
    </row>
    <row r="86" spans="2:5" ht="13.5" thickBot="1">
      <c r="B86" s="115" t="s">
        <v>637</v>
      </c>
      <c r="C86" s="18">
        <v>45885.5</v>
      </c>
      <c r="D86" s="18">
        <v>52254.29</v>
      </c>
      <c r="E86" s="214">
        <f>D86-C86</f>
        <v>6368.790000000001</v>
      </c>
    </row>
    <row r="87" spans="2:5" ht="13.5" thickBot="1">
      <c r="B87" s="143"/>
      <c r="C87" s="167">
        <f>SUM(C85:C86)</f>
        <v>127807.6</v>
      </c>
      <c r="D87" s="167">
        <f>SUM(D85:D86)</f>
        <v>145651.32</v>
      </c>
      <c r="E87" s="167">
        <f>SUM(E85:E86)</f>
        <v>17843.719999999994</v>
      </c>
    </row>
    <row r="88" spans="2:5" ht="13.5" thickBot="1">
      <c r="B88" s="363" t="s">
        <v>660</v>
      </c>
      <c r="C88" s="364"/>
      <c r="D88" s="364"/>
      <c r="E88" s="365"/>
    </row>
    <row r="89" spans="2:5" ht="12.75">
      <c r="B89" s="140" t="s">
        <v>285</v>
      </c>
      <c r="C89" s="212">
        <v>117896.91</v>
      </c>
      <c r="D89" s="285">
        <v>123503.31</v>
      </c>
      <c r="E89" s="213">
        <f>D89-C89</f>
        <v>5606.399999999994</v>
      </c>
    </row>
    <row r="90" spans="2:5" ht="12.75">
      <c r="B90" s="115" t="s">
        <v>637</v>
      </c>
      <c r="C90" s="18">
        <v>58556.11</v>
      </c>
      <c r="D90" s="36">
        <v>61075.95</v>
      </c>
      <c r="E90" s="214">
        <f>D90-C90</f>
        <v>2519.8399999999965</v>
      </c>
    </row>
    <row r="91" spans="2:5" ht="12.75">
      <c r="B91" s="116" t="s">
        <v>113</v>
      </c>
      <c r="C91" s="89">
        <v>3964.46</v>
      </c>
      <c r="D91" s="90">
        <v>6666.88</v>
      </c>
      <c r="E91" s="214">
        <f>D91-C91</f>
        <v>2702.42</v>
      </c>
    </row>
    <row r="92" spans="2:5" ht="26.25" thickBot="1">
      <c r="B92" s="156" t="s">
        <v>119</v>
      </c>
      <c r="C92" s="287">
        <v>2500</v>
      </c>
      <c r="D92" s="287">
        <v>2500</v>
      </c>
      <c r="E92" s="228">
        <f>D92-C92</f>
        <v>0</v>
      </c>
    </row>
    <row r="93" spans="2:5" ht="13.5" thickBot="1">
      <c r="B93" s="187"/>
      <c r="C93" s="217">
        <f>SUM(C89:C92)</f>
        <v>182917.48</v>
      </c>
      <c r="D93" s="217">
        <f>SUM(D89:D92)</f>
        <v>193746.14</v>
      </c>
      <c r="E93" s="217">
        <f>SUM(E89:E91)</f>
        <v>10828.65999999999</v>
      </c>
    </row>
    <row r="94" spans="2:5" ht="13.5" thickBot="1">
      <c r="B94" s="363" t="s">
        <v>419</v>
      </c>
      <c r="C94" s="364"/>
      <c r="D94" s="364"/>
      <c r="E94" s="365"/>
    </row>
    <row r="95" spans="2:5" ht="12.75">
      <c r="B95" s="140" t="s">
        <v>285</v>
      </c>
      <c r="C95" s="212">
        <v>126818.17</v>
      </c>
      <c r="D95" s="285">
        <v>130635.72</v>
      </c>
      <c r="E95" s="213">
        <f>D95-C95</f>
        <v>3817.550000000003</v>
      </c>
    </row>
    <row r="96" spans="2:5" ht="12.75">
      <c r="B96" s="115" t="s">
        <v>637</v>
      </c>
      <c r="C96" s="18">
        <v>62155.11</v>
      </c>
      <c r="D96" s="36">
        <v>63515.99</v>
      </c>
      <c r="E96" s="214">
        <f>D96-C96</f>
        <v>1360.8799999999974</v>
      </c>
    </row>
    <row r="97" spans="2:5" ht="12.75">
      <c r="B97" s="116" t="s">
        <v>652</v>
      </c>
      <c r="C97" s="89">
        <v>9067.33</v>
      </c>
      <c r="D97" s="90">
        <v>3333.44</v>
      </c>
      <c r="E97" s="214">
        <f>D97-C97</f>
        <v>-5733.889999999999</v>
      </c>
    </row>
    <row r="98" spans="2:5" ht="26.25" thickBot="1">
      <c r="B98" s="156" t="s">
        <v>119</v>
      </c>
      <c r="C98" s="287">
        <v>700</v>
      </c>
      <c r="D98" s="287">
        <v>700</v>
      </c>
      <c r="E98" s="228">
        <f>D98-C98</f>
        <v>0</v>
      </c>
    </row>
    <row r="99" spans="2:5" ht="13.5" thickBot="1">
      <c r="B99" s="187"/>
      <c r="C99" s="217">
        <f>SUM(C95:C98)</f>
        <v>198740.61</v>
      </c>
      <c r="D99" s="217">
        <f>SUM(D95:D98)</f>
        <v>198185.15</v>
      </c>
      <c r="E99" s="217">
        <f>SUM(E95:E97)</f>
        <v>-555.4599999999991</v>
      </c>
    </row>
    <row r="100" spans="2:5" ht="13.5" thickBot="1">
      <c r="B100" s="363" t="s">
        <v>381</v>
      </c>
      <c r="C100" s="364"/>
      <c r="D100" s="364"/>
      <c r="E100" s="365"/>
    </row>
    <row r="101" spans="2:5" ht="12.75">
      <c r="B101" s="140" t="s">
        <v>285</v>
      </c>
      <c r="C101" s="141">
        <v>178596.51</v>
      </c>
      <c r="D101" s="155">
        <v>176988.96</v>
      </c>
      <c r="E101" s="213">
        <f aca="true" t="shared" si="1" ref="E101:E107">D101-C101</f>
        <v>-1607.5500000000175</v>
      </c>
    </row>
    <row r="102" spans="2:5" ht="12.75">
      <c r="B102" s="115" t="s">
        <v>637</v>
      </c>
      <c r="C102" s="5">
        <v>88465.69</v>
      </c>
      <c r="D102" s="33">
        <v>87646.83</v>
      </c>
      <c r="E102" s="214">
        <f t="shared" si="1"/>
        <v>-818.8600000000006</v>
      </c>
    </row>
    <row r="103" spans="2:5" ht="12.75">
      <c r="B103" s="115" t="s">
        <v>633</v>
      </c>
      <c r="C103" s="65">
        <v>6953.63</v>
      </c>
      <c r="D103" s="70">
        <v>8491.84</v>
      </c>
      <c r="E103" s="214">
        <f t="shared" si="1"/>
        <v>1538.21</v>
      </c>
    </row>
    <row r="104" spans="2:5" ht="12.75">
      <c r="B104" s="116" t="s">
        <v>364</v>
      </c>
      <c r="C104" s="94">
        <v>5168.91</v>
      </c>
      <c r="D104" s="83">
        <v>11131.57</v>
      </c>
      <c r="E104" s="214">
        <f t="shared" si="1"/>
        <v>5962.66</v>
      </c>
    </row>
    <row r="105" spans="2:5" ht="12.75">
      <c r="B105" s="116" t="s">
        <v>415</v>
      </c>
      <c r="C105" s="94">
        <v>321.81</v>
      </c>
      <c r="D105" s="83">
        <v>3259.99</v>
      </c>
      <c r="E105" s="214">
        <f t="shared" si="1"/>
        <v>2938.18</v>
      </c>
    </row>
    <row r="106" spans="2:5" ht="12.75">
      <c r="B106" s="278" t="s">
        <v>792</v>
      </c>
      <c r="C106" s="122">
        <v>6300</v>
      </c>
      <c r="D106" s="122">
        <v>6800</v>
      </c>
      <c r="E106" s="214">
        <f t="shared" si="1"/>
        <v>500</v>
      </c>
    </row>
    <row r="107" spans="2:5" ht="13.5" thickBot="1">
      <c r="B107" s="157" t="s">
        <v>1200</v>
      </c>
      <c r="C107" s="229">
        <v>4441.24</v>
      </c>
      <c r="D107" s="229">
        <v>4441.24</v>
      </c>
      <c r="E107" s="216">
        <f t="shared" si="1"/>
        <v>0</v>
      </c>
    </row>
    <row r="108" spans="2:5" ht="13.5" thickBot="1">
      <c r="B108" s="187"/>
      <c r="C108" s="217">
        <f>SUM(C101:C107)</f>
        <v>290247.79</v>
      </c>
      <c r="D108" s="217">
        <f>SUM(D101:D107)</f>
        <v>298760.43</v>
      </c>
      <c r="E108" s="217">
        <f>SUM(E101:E107)</f>
        <v>8512.639999999981</v>
      </c>
    </row>
    <row r="109" spans="2:5" ht="13.5" thickBot="1">
      <c r="B109" s="363" t="s">
        <v>87</v>
      </c>
      <c r="C109" s="364"/>
      <c r="D109" s="364"/>
      <c r="E109" s="365"/>
    </row>
    <row r="110" spans="2:5" ht="12.75">
      <c r="B110" s="140" t="s">
        <v>285</v>
      </c>
      <c r="C110" s="234">
        <v>140808.7</v>
      </c>
      <c r="D110" s="218">
        <v>154971.4</v>
      </c>
      <c r="E110" s="242">
        <f aca="true" t="shared" si="2" ref="E110:E116">D110-C110</f>
        <v>14162.699999999983</v>
      </c>
    </row>
    <row r="111" spans="2:5" ht="12.75">
      <c r="B111" s="115" t="s">
        <v>637</v>
      </c>
      <c r="C111" s="10">
        <v>68853.7</v>
      </c>
      <c r="D111" s="98">
        <v>76048.44</v>
      </c>
      <c r="E111" s="57">
        <f t="shared" si="2"/>
        <v>7194.740000000005</v>
      </c>
    </row>
    <row r="112" spans="2:5" ht="12.75">
      <c r="B112" s="115" t="s">
        <v>364</v>
      </c>
      <c r="C112" s="10">
        <v>65042.04</v>
      </c>
      <c r="D112" s="98">
        <v>65111.49</v>
      </c>
      <c r="E112" s="57">
        <f t="shared" si="2"/>
        <v>69.44999999999709</v>
      </c>
    </row>
    <row r="113" spans="2:5" ht="12.75">
      <c r="B113" s="115" t="s">
        <v>633</v>
      </c>
      <c r="C113" s="10">
        <v>11505.2</v>
      </c>
      <c r="D113" s="98">
        <v>13487.04</v>
      </c>
      <c r="E113" s="57">
        <f t="shared" si="2"/>
        <v>1981.8400000000001</v>
      </c>
    </row>
    <row r="114" spans="2:5" ht="12.75" customHeight="1">
      <c r="B114" s="269" t="s">
        <v>1087</v>
      </c>
      <c r="C114" s="10">
        <v>14504.61</v>
      </c>
      <c r="D114" s="98">
        <v>16422.32</v>
      </c>
      <c r="E114" s="57">
        <f t="shared" si="2"/>
        <v>1917.7099999999991</v>
      </c>
    </row>
    <row r="115" spans="2:5" ht="12.75" customHeight="1">
      <c r="B115" s="115" t="s">
        <v>1019</v>
      </c>
      <c r="C115" s="10">
        <v>6537.15</v>
      </c>
      <c r="D115" s="98">
        <v>6537.15</v>
      </c>
      <c r="E115" s="57">
        <f t="shared" si="2"/>
        <v>0</v>
      </c>
    </row>
    <row r="116" spans="2:5" ht="13.5" thickBot="1">
      <c r="B116" s="157" t="s">
        <v>29</v>
      </c>
      <c r="C116" s="225">
        <f>3500+2400+3600</f>
        <v>9500</v>
      </c>
      <c r="D116" s="227">
        <f>4200+2400+3300</f>
        <v>9900</v>
      </c>
      <c r="E116" s="222">
        <f t="shared" si="2"/>
        <v>400</v>
      </c>
    </row>
    <row r="117" spans="2:5" ht="13.5" thickBot="1">
      <c r="B117" s="177"/>
      <c r="C117" s="217">
        <f>SUM(C110:C116)</f>
        <v>316751.4</v>
      </c>
      <c r="D117" s="217">
        <f>SUM(D110:D116)</f>
        <v>342477.84</v>
      </c>
      <c r="E117" s="217">
        <f>SUM(E110:E116)</f>
        <v>25726.439999999984</v>
      </c>
    </row>
    <row r="118" spans="2:5" ht="13.5" thickBot="1">
      <c r="B118" s="366" t="s">
        <v>379</v>
      </c>
      <c r="C118" s="367"/>
      <c r="D118" s="367"/>
      <c r="E118" s="368"/>
    </row>
    <row r="119" spans="2:5" ht="13.5" thickBot="1">
      <c r="B119" s="153"/>
      <c r="C119" s="175">
        <f>C87+C93+C99+C108+C117</f>
        <v>1116464.88</v>
      </c>
      <c r="D119" s="175">
        <f>D87+D93+D99+D108+D117</f>
        <v>1178820.8800000001</v>
      </c>
      <c r="E119" s="175">
        <f>E87+E93+E99+E108+E117</f>
        <v>62355.999999999956</v>
      </c>
    </row>
  </sheetData>
  <sheetProtection/>
  <mergeCells count="23">
    <mergeCell ref="A6:E6"/>
    <mergeCell ref="A19:D19"/>
    <mergeCell ref="A20:D20"/>
    <mergeCell ref="D24:E24"/>
    <mergeCell ref="A2:B2"/>
    <mergeCell ref="C2:E2"/>
    <mergeCell ref="C3:E3"/>
    <mergeCell ref="B4:E4"/>
    <mergeCell ref="D77:E77"/>
    <mergeCell ref="D78:E78"/>
    <mergeCell ref="D79:E79"/>
    <mergeCell ref="D80:E80"/>
    <mergeCell ref="D73:E73"/>
    <mergeCell ref="D74:E74"/>
    <mergeCell ref="D75:E75"/>
    <mergeCell ref="D76:E76"/>
    <mergeCell ref="B100:E100"/>
    <mergeCell ref="B118:E118"/>
    <mergeCell ref="B109:E109"/>
    <mergeCell ref="D81:E81"/>
    <mergeCell ref="B84:E84"/>
    <mergeCell ref="B88:E88"/>
    <mergeCell ref="B94:E94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2"/>
  <sheetViews>
    <sheetView zoomScalePageLayoutView="0" workbookViewId="0" topLeftCell="A52">
      <selection activeCell="B15" sqref="B15"/>
    </sheetView>
  </sheetViews>
  <sheetFormatPr defaultColWidth="9.00390625" defaultRowHeight="12.75"/>
  <cols>
    <col min="1" max="1" width="3.125" style="0" customWidth="1"/>
    <col min="2" max="2" width="59.375" style="0" customWidth="1"/>
    <col min="3" max="4" width="12.125" style="0" customWidth="1"/>
    <col min="5" max="5" width="13.75390625" style="0" customWidth="1"/>
  </cols>
  <sheetData>
    <row r="2" spans="1:5" ht="12.75">
      <c r="A2" s="23"/>
      <c r="C2" s="391" t="s">
        <v>83</v>
      </c>
      <c r="D2" s="392"/>
      <c r="E2" s="392"/>
    </row>
    <row r="3" spans="1:5" ht="17.25" customHeight="1">
      <c r="A3" s="23"/>
      <c r="B3" s="391" t="s">
        <v>803</v>
      </c>
      <c r="C3" s="392"/>
      <c r="D3" s="392"/>
      <c r="E3" s="392"/>
    </row>
    <row r="4" ht="18">
      <c r="B4" s="17" t="s">
        <v>120</v>
      </c>
    </row>
    <row r="5" spans="1:5" ht="15">
      <c r="A5" s="383" t="s">
        <v>439</v>
      </c>
      <c r="B5" s="384"/>
      <c r="C5" s="384"/>
      <c r="D5" s="384"/>
      <c r="E5" s="384"/>
    </row>
    <row r="6" spans="1:4" ht="15">
      <c r="A6" s="26"/>
      <c r="B6" s="27" t="s">
        <v>681</v>
      </c>
      <c r="C6" s="26"/>
      <c r="D6" s="24"/>
    </row>
    <row r="7" spans="1:4" ht="15">
      <c r="A7" s="26"/>
      <c r="B7" s="27" t="s">
        <v>115</v>
      </c>
      <c r="C7" s="38">
        <v>3577.1</v>
      </c>
      <c r="D7" s="92" t="s">
        <v>116</v>
      </c>
    </row>
    <row r="8" spans="1:4" ht="15">
      <c r="A8" s="26"/>
      <c r="B8" s="27" t="s">
        <v>654</v>
      </c>
      <c r="C8" s="93">
        <v>1040.6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427603.48</v>
      </c>
      <c r="D11" s="218">
        <v>436342.99</v>
      </c>
      <c r="E11" s="242">
        <f aca="true" t="shared" si="0" ref="E11:E18">D11-C11</f>
        <v>8739.51000000001</v>
      </c>
    </row>
    <row r="12" spans="1:5" ht="12.75">
      <c r="A12" s="84">
        <v>2</v>
      </c>
      <c r="B12" s="5" t="s">
        <v>637</v>
      </c>
      <c r="C12" s="10">
        <v>208300.78</v>
      </c>
      <c r="D12" s="98">
        <v>217417.08</v>
      </c>
      <c r="E12" s="57">
        <f t="shared" si="0"/>
        <v>9116.299999999988</v>
      </c>
    </row>
    <row r="13" spans="1:5" ht="12.75">
      <c r="A13" s="84">
        <v>3</v>
      </c>
      <c r="B13" s="5" t="s">
        <v>364</v>
      </c>
      <c r="C13" s="10">
        <v>50740.95</v>
      </c>
      <c r="D13" s="98">
        <v>49477.28</v>
      </c>
      <c r="E13" s="57">
        <f t="shared" si="0"/>
        <v>-1263.6699999999983</v>
      </c>
    </row>
    <row r="14" spans="1:5" ht="12.75">
      <c r="A14" s="84">
        <v>4</v>
      </c>
      <c r="B14" s="5" t="s">
        <v>633</v>
      </c>
      <c r="C14" s="10">
        <v>52599.19</v>
      </c>
      <c r="D14" s="98">
        <v>55392.42</v>
      </c>
      <c r="E14" s="57">
        <f t="shared" si="0"/>
        <v>2793.229999999996</v>
      </c>
    </row>
    <row r="15" spans="1:5" ht="12.75">
      <c r="A15" s="84">
        <v>5</v>
      </c>
      <c r="B15" s="5" t="s">
        <v>29</v>
      </c>
      <c r="C15" s="10">
        <f>2400+3300+30000+14112+2700+60000</f>
        <v>112512</v>
      </c>
      <c r="D15" s="98">
        <f>2400+3600+30000+14112+2700+30000</f>
        <v>82812</v>
      </c>
      <c r="E15" s="57">
        <f t="shared" si="0"/>
        <v>-29700</v>
      </c>
    </row>
    <row r="16" spans="1:5" ht="12.75">
      <c r="A16" s="84">
        <v>6</v>
      </c>
      <c r="B16" s="5" t="s">
        <v>899</v>
      </c>
      <c r="C16" s="10">
        <f>19156.33+3045.68</f>
        <v>22202.010000000002</v>
      </c>
      <c r="D16" s="98">
        <f>19639.28+3045.68</f>
        <v>22684.96</v>
      </c>
      <c r="E16" s="57">
        <f t="shared" si="0"/>
        <v>482.9499999999971</v>
      </c>
    </row>
    <row r="17" spans="1:5" ht="12.75">
      <c r="A17" s="84">
        <v>7</v>
      </c>
      <c r="B17" s="5" t="s">
        <v>805</v>
      </c>
      <c r="C17" s="125">
        <f>26806.19+21200+16844.94+32818.93+31867.28+18852.92</f>
        <v>148390.26</v>
      </c>
      <c r="D17" s="125">
        <f>29261.41+410059.56+16844.94+32818.93+14996.85+26577.88</f>
        <v>530559.57</v>
      </c>
      <c r="E17" s="57">
        <f t="shared" si="0"/>
        <v>382169.30999999994</v>
      </c>
    </row>
    <row r="18" spans="1:5" ht="13.5" thickBot="1">
      <c r="A18" s="261">
        <v>8</v>
      </c>
      <c r="B18" s="276" t="s">
        <v>1088</v>
      </c>
      <c r="C18" s="142">
        <v>5466.69</v>
      </c>
      <c r="D18" s="142">
        <v>5466.69</v>
      </c>
      <c r="E18" s="222">
        <f t="shared" si="0"/>
        <v>0</v>
      </c>
    </row>
    <row r="19" spans="1:5" ht="13.5" thickBot="1">
      <c r="A19" s="250"/>
      <c r="B19" s="251"/>
      <c r="C19" s="118">
        <f>SUM(C11:C18)</f>
        <v>1027815.3599999999</v>
      </c>
      <c r="D19" s="118">
        <f>SUM(D11:D18)</f>
        <v>1400152.9899999998</v>
      </c>
      <c r="E19" s="137">
        <f>SUM(E11:E18)</f>
        <v>372337.62999999995</v>
      </c>
    </row>
    <row r="20" spans="1:5" ht="12.75">
      <c r="A20" s="385" t="s">
        <v>793</v>
      </c>
      <c r="B20" s="386"/>
      <c r="C20" s="386"/>
      <c r="D20" s="386"/>
      <c r="E20" s="108">
        <f>E142</f>
        <v>572889.9299999999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25.5">
      <c r="A23" s="86">
        <v>1</v>
      </c>
      <c r="B23" s="64" t="s">
        <v>647</v>
      </c>
      <c r="C23" s="80">
        <f>C67</f>
        <v>493495.94</v>
      </c>
      <c r="E23" s="29"/>
    </row>
    <row r="24" spans="1:5" ht="12.75">
      <c r="A24" s="91">
        <v>2</v>
      </c>
      <c r="B24" s="25" t="s">
        <v>344</v>
      </c>
      <c r="C24" s="102">
        <f>C80</f>
        <v>21742.54</v>
      </c>
      <c r="D24" s="388"/>
      <c r="E24" s="389"/>
    </row>
    <row r="25" spans="1:5" ht="12.75">
      <c r="A25" s="84">
        <v>3</v>
      </c>
      <c r="B25" s="9" t="s">
        <v>649</v>
      </c>
      <c r="C25" s="48">
        <v>1062.47</v>
      </c>
      <c r="E25" s="29"/>
    </row>
    <row r="26" spans="1:5" ht="12.75">
      <c r="A26" s="84">
        <v>4</v>
      </c>
      <c r="B26" s="9" t="s">
        <v>122</v>
      </c>
      <c r="C26" s="48">
        <f>(C7*0.55*12)</f>
        <v>23608.86</v>
      </c>
      <c r="E26" s="29"/>
    </row>
    <row r="27" spans="1:5" ht="12.75">
      <c r="A27" s="84">
        <v>5</v>
      </c>
      <c r="B27" s="9" t="s">
        <v>658</v>
      </c>
      <c r="C27" s="79">
        <v>42140.28</v>
      </c>
      <c r="E27" s="29"/>
    </row>
    <row r="28" spans="1:5" ht="12.75">
      <c r="A28" s="84">
        <v>6</v>
      </c>
      <c r="B28" s="147" t="s">
        <v>337</v>
      </c>
      <c r="C28" s="96">
        <v>600</v>
      </c>
      <c r="E28" s="29"/>
    </row>
    <row r="29" spans="1:5" ht="12.75">
      <c r="A29" s="84">
        <v>7</v>
      </c>
      <c r="B29" s="346" t="s">
        <v>358</v>
      </c>
      <c r="C29" s="96">
        <v>2400</v>
      </c>
      <c r="E29" s="29"/>
    </row>
    <row r="30" spans="1:5" ht="12.75">
      <c r="A30" s="84">
        <v>8</v>
      </c>
      <c r="B30" s="346" t="s">
        <v>339</v>
      </c>
      <c r="C30" s="96">
        <v>15283.06</v>
      </c>
      <c r="E30" s="29"/>
    </row>
    <row r="31" spans="1:5" ht="12.75">
      <c r="A31" s="84">
        <v>9</v>
      </c>
      <c r="B31" s="346" t="s">
        <v>340</v>
      </c>
      <c r="C31" s="96">
        <v>4417.92</v>
      </c>
      <c r="E31" s="29"/>
    </row>
    <row r="32" spans="1:5" ht="12.75">
      <c r="A32" s="84">
        <v>10</v>
      </c>
      <c r="B32" s="25" t="s">
        <v>336</v>
      </c>
      <c r="C32" s="96">
        <v>1330</v>
      </c>
      <c r="E32" s="29"/>
    </row>
    <row r="33" spans="1:5" ht="12.75" customHeight="1">
      <c r="A33" s="84">
        <v>11</v>
      </c>
      <c r="B33" s="25" t="s">
        <v>435</v>
      </c>
      <c r="C33" s="96">
        <v>42992</v>
      </c>
      <c r="E33" s="29"/>
    </row>
    <row r="34" spans="1:5" ht="25.5">
      <c r="A34" s="91">
        <v>12</v>
      </c>
      <c r="B34" s="25" t="s">
        <v>327</v>
      </c>
      <c r="C34" s="96">
        <v>3911.81</v>
      </c>
      <c r="D34" s="345"/>
      <c r="E34" s="345"/>
    </row>
    <row r="35" spans="1:5" ht="12.75">
      <c r="A35" s="84">
        <v>13</v>
      </c>
      <c r="B35" s="346" t="s">
        <v>338</v>
      </c>
      <c r="C35" s="96">
        <v>9063</v>
      </c>
      <c r="D35" s="345"/>
      <c r="E35" s="345"/>
    </row>
    <row r="36" spans="1:5" ht="12.75">
      <c r="A36" s="84">
        <v>14</v>
      </c>
      <c r="B36" s="346" t="s">
        <v>204</v>
      </c>
      <c r="C36" s="96">
        <v>257901.64</v>
      </c>
      <c r="E36" s="29"/>
    </row>
    <row r="37" spans="1:5" ht="12.75">
      <c r="A37" s="84">
        <v>15</v>
      </c>
      <c r="B37" s="147" t="s">
        <v>230</v>
      </c>
      <c r="C37" s="96">
        <v>6500</v>
      </c>
      <c r="E37" s="29"/>
    </row>
    <row r="38" spans="1:5" ht="12.75">
      <c r="A38" s="84">
        <v>16</v>
      </c>
      <c r="B38" s="147" t="s">
        <v>335</v>
      </c>
      <c r="C38" s="79">
        <v>4200</v>
      </c>
      <c r="E38" s="29"/>
    </row>
    <row r="39" spans="1:5" ht="12.75">
      <c r="A39" s="84">
        <v>17</v>
      </c>
      <c r="B39" s="25" t="s">
        <v>1175</v>
      </c>
      <c r="C39" s="79">
        <v>4461.92</v>
      </c>
      <c r="E39" s="29"/>
    </row>
    <row r="40" spans="1:3" ht="12.75">
      <c r="A40" s="50"/>
      <c r="B40" s="20" t="s">
        <v>629</v>
      </c>
      <c r="C40" s="51">
        <f>SUM(C23:C39)</f>
        <v>935111.4400000002</v>
      </c>
    </row>
    <row r="41" spans="1:3" ht="12.75">
      <c r="A41" s="49"/>
      <c r="B41" s="8" t="s">
        <v>965</v>
      </c>
      <c r="C41" s="45"/>
    </row>
    <row r="42" spans="1:3" ht="12.75">
      <c r="A42" s="84">
        <v>1</v>
      </c>
      <c r="B42" s="9" t="s">
        <v>228</v>
      </c>
      <c r="C42" s="48">
        <f>(C19)*15%</f>
        <v>154172.30399999997</v>
      </c>
    </row>
    <row r="43" spans="1:3" ht="12.75">
      <c r="A43" s="84">
        <v>2</v>
      </c>
      <c r="B43" s="9" t="s">
        <v>813</v>
      </c>
      <c r="C43" s="48">
        <f>C86</f>
        <v>7747.482797964968</v>
      </c>
    </row>
    <row r="44" spans="1:3" ht="12.75">
      <c r="A44" s="84">
        <v>3</v>
      </c>
      <c r="B44" s="9" t="s">
        <v>653</v>
      </c>
      <c r="C44" s="48">
        <f>C87</f>
        <v>8414.914292902016</v>
      </c>
    </row>
    <row r="45" spans="1:3" ht="12.75">
      <c r="A45" s="84">
        <v>4</v>
      </c>
      <c r="B45" s="9" t="s">
        <v>1114</v>
      </c>
      <c r="C45" s="52">
        <f>C88</f>
        <v>17082.612462794976</v>
      </c>
    </row>
    <row r="46" spans="1:3" ht="12.75">
      <c r="A46" s="84">
        <v>5</v>
      </c>
      <c r="B46" s="9" t="s">
        <v>162</v>
      </c>
      <c r="C46" s="52">
        <f>C89</f>
        <v>16113.138595034043</v>
      </c>
    </row>
    <row r="47" spans="1:3" ht="12.75">
      <c r="A47" s="84">
        <v>6</v>
      </c>
      <c r="B47" s="9" t="s">
        <v>1051</v>
      </c>
      <c r="C47" s="48">
        <f>C90+C92+C93+C94+C91</f>
        <v>27343.92807619306</v>
      </c>
    </row>
    <row r="48" spans="1:3" ht="12.75">
      <c r="A48" s="49"/>
      <c r="B48" s="74" t="s">
        <v>809</v>
      </c>
      <c r="C48" s="53"/>
    </row>
    <row r="49" spans="1:3" ht="12.75">
      <c r="A49" s="49"/>
      <c r="B49" s="5" t="s">
        <v>655</v>
      </c>
      <c r="C49" s="53"/>
    </row>
    <row r="50" spans="1:3" ht="12.75">
      <c r="A50" s="49"/>
      <c r="B50" s="74" t="s">
        <v>656</v>
      </c>
      <c r="C50" s="53"/>
    </row>
    <row r="51" spans="1:3" ht="12.75">
      <c r="A51" s="49"/>
      <c r="B51" s="74" t="s">
        <v>808</v>
      </c>
      <c r="C51" s="53"/>
    </row>
    <row r="52" spans="1:3" ht="12.75">
      <c r="A52" s="50"/>
      <c r="B52" s="20" t="s">
        <v>629</v>
      </c>
      <c r="C52" s="51">
        <f>C42+C43+C44+C45+C46+C47</f>
        <v>230874.38022488903</v>
      </c>
    </row>
    <row r="53" spans="1:3" ht="12.75">
      <c r="A53" s="49"/>
      <c r="B53" s="7" t="s">
        <v>966</v>
      </c>
      <c r="C53" s="45"/>
    </row>
    <row r="54" spans="1:3" ht="12.75">
      <c r="A54" s="84">
        <v>1</v>
      </c>
      <c r="B54" s="9" t="s">
        <v>631</v>
      </c>
      <c r="C54" s="48">
        <f>C19*2%</f>
        <v>20556.3072</v>
      </c>
    </row>
    <row r="55" spans="1:3" ht="12.75">
      <c r="A55" s="84">
        <v>2</v>
      </c>
      <c r="B55" s="9" t="s">
        <v>391</v>
      </c>
      <c r="C55" s="48">
        <f>C56</f>
        <v>60435.54316799999</v>
      </c>
    </row>
    <row r="56" spans="1:4" ht="12.75">
      <c r="A56" s="49"/>
      <c r="B56" s="5" t="s">
        <v>334</v>
      </c>
      <c r="C56" s="41">
        <f>(C19-C54)*6%</f>
        <v>60435.54316799999</v>
      </c>
      <c r="D56" s="19"/>
    </row>
    <row r="57" spans="1:3" ht="13.5" thickBot="1">
      <c r="A57" s="54"/>
      <c r="B57" s="55" t="s">
        <v>967</v>
      </c>
      <c r="C57" s="56">
        <f>C54+C55</f>
        <v>80991.85036799998</v>
      </c>
    </row>
    <row r="58" spans="1:3" ht="12.75">
      <c r="A58" s="23"/>
      <c r="B58" s="4" t="s">
        <v>288</v>
      </c>
      <c r="C58" s="11">
        <f>C40+C52+C57</f>
        <v>1246977.6705928892</v>
      </c>
    </row>
    <row r="59" spans="1:3" ht="12.75">
      <c r="A59" s="23"/>
      <c r="B59" s="77"/>
      <c r="C59" s="1"/>
    </row>
    <row r="60" spans="1:3" ht="15">
      <c r="A60" s="23"/>
      <c r="B60" s="14" t="s">
        <v>975</v>
      </c>
      <c r="C60" s="11">
        <v>269443.18</v>
      </c>
    </row>
    <row r="61" spans="1:3" ht="15">
      <c r="A61" s="23"/>
      <c r="B61" s="14" t="s">
        <v>94</v>
      </c>
      <c r="C61" s="11">
        <f>C19+C60-C58</f>
        <v>50280.869407110615</v>
      </c>
    </row>
    <row r="62" ht="12.75">
      <c r="B62" s="1" t="s">
        <v>85</v>
      </c>
    </row>
    <row r="63" ht="19.5" customHeight="1">
      <c r="B63" s="1" t="s">
        <v>1197</v>
      </c>
    </row>
    <row r="64" spans="1:4" ht="12.75">
      <c r="A64" s="2"/>
      <c r="B64" s="2"/>
      <c r="C64" s="2" t="s">
        <v>790</v>
      </c>
      <c r="D64" s="2"/>
    </row>
    <row r="65" spans="1:4" ht="12.75">
      <c r="A65" s="2"/>
      <c r="B65" s="2"/>
      <c r="C65" s="2" t="s">
        <v>682</v>
      </c>
      <c r="D65" s="2"/>
    </row>
    <row r="66" spans="1:5" ht="13.5" thickBot="1">
      <c r="A66" s="37"/>
      <c r="B66" s="37" t="s">
        <v>969</v>
      </c>
      <c r="C66" s="32" t="s">
        <v>886</v>
      </c>
      <c r="D66" s="114">
        <f>C7+C8</f>
        <v>4617.7</v>
      </c>
      <c r="E66" t="s">
        <v>116</v>
      </c>
    </row>
    <row r="67" spans="1:5" ht="12.75">
      <c r="A67" s="60" t="s">
        <v>218</v>
      </c>
      <c r="B67" s="39" t="s">
        <v>832</v>
      </c>
      <c r="C67" s="47">
        <v>493495.94</v>
      </c>
      <c r="D67" s="15"/>
      <c r="E67" s="21"/>
    </row>
    <row r="68" spans="1:5" ht="12.75">
      <c r="A68" s="61"/>
      <c r="B68" s="6" t="s">
        <v>118</v>
      </c>
      <c r="C68" s="41"/>
      <c r="D68" s="15"/>
      <c r="E68" s="21"/>
    </row>
    <row r="69" spans="1:5" ht="12.75">
      <c r="A69" s="62" t="s">
        <v>166</v>
      </c>
      <c r="B69" s="6" t="s">
        <v>380</v>
      </c>
      <c r="C69" s="41">
        <v>12845.35</v>
      </c>
      <c r="D69" s="15"/>
      <c r="E69" s="15"/>
    </row>
    <row r="70" spans="1:5" ht="12.75">
      <c r="A70" s="62" t="s">
        <v>166</v>
      </c>
      <c r="B70" s="6" t="s">
        <v>692</v>
      </c>
      <c r="C70" s="41">
        <v>6655</v>
      </c>
      <c r="D70" s="15"/>
      <c r="E70" s="15"/>
    </row>
    <row r="71" spans="1:5" ht="12.75">
      <c r="A71" s="62" t="s">
        <v>166</v>
      </c>
      <c r="B71" s="6" t="s">
        <v>229</v>
      </c>
      <c r="C71" s="41">
        <v>27285.47</v>
      </c>
      <c r="D71" s="15"/>
      <c r="E71" s="15"/>
    </row>
    <row r="72" spans="1:5" ht="12.75">
      <c r="A72" s="62" t="s">
        <v>166</v>
      </c>
      <c r="B72" s="6" t="s">
        <v>341</v>
      </c>
      <c r="C72" s="41">
        <v>62077.76</v>
      </c>
      <c r="D72" s="15"/>
      <c r="E72" s="15"/>
    </row>
    <row r="73" spans="1:5" ht="12.75">
      <c r="A73" s="62" t="s">
        <v>166</v>
      </c>
      <c r="B73" s="6" t="s">
        <v>226</v>
      </c>
      <c r="C73" s="41">
        <v>68515.19</v>
      </c>
      <c r="D73" s="15"/>
      <c r="E73" s="15"/>
    </row>
    <row r="74" spans="1:5" ht="12.75">
      <c r="A74" s="62" t="s">
        <v>166</v>
      </c>
      <c r="B74" s="6" t="s">
        <v>225</v>
      </c>
      <c r="C74" s="41">
        <v>50077.99</v>
      </c>
      <c r="D74" s="15"/>
      <c r="E74" s="15"/>
    </row>
    <row r="75" spans="1:5" ht="12.75">
      <c r="A75" s="62" t="s">
        <v>166</v>
      </c>
      <c r="B75" s="6" t="s">
        <v>277</v>
      </c>
      <c r="C75" s="41">
        <v>1950</v>
      </c>
      <c r="D75" s="15"/>
      <c r="E75" s="15"/>
    </row>
    <row r="76" spans="1:5" ht="12.75">
      <c r="A76" s="62" t="s">
        <v>166</v>
      </c>
      <c r="B76" s="6" t="s">
        <v>210</v>
      </c>
      <c r="C76" s="41">
        <v>18325.81</v>
      </c>
      <c r="D76" s="15"/>
      <c r="E76" s="15"/>
    </row>
    <row r="77" spans="1:5" ht="12.75">
      <c r="A77" s="62" t="s">
        <v>166</v>
      </c>
      <c r="B77" s="6" t="s">
        <v>276</v>
      </c>
      <c r="C77" s="41">
        <v>650</v>
      </c>
      <c r="D77" s="15"/>
      <c r="E77" s="15"/>
    </row>
    <row r="78" spans="1:5" ht="12.75">
      <c r="A78" s="62" t="s">
        <v>166</v>
      </c>
      <c r="B78" s="6" t="s">
        <v>693</v>
      </c>
      <c r="C78" s="41">
        <v>4550</v>
      </c>
      <c r="D78" s="15"/>
      <c r="E78" s="15"/>
    </row>
    <row r="79" spans="1:5" ht="13.5" thickBot="1">
      <c r="A79" s="63" t="s">
        <v>166</v>
      </c>
      <c r="B79" s="42" t="s">
        <v>818</v>
      </c>
      <c r="C79" s="46">
        <v>253.12</v>
      </c>
      <c r="D79" s="15"/>
      <c r="E79" s="15"/>
    </row>
    <row r="80" spans="1:5" ht="12.75">
      <c r="A80" s="60" t="s">
        <v>328</v>
      </c>
      <c r="B80" s="39" t="s">
        <v>343</v>
      </c>
      <c r="C80" s="47">
        <v>21742.54</v>
      </c>
      <c r="D80" s="15"/>
      <c r="E80" s="12"/>
    </row>
    <row r="81" spans="1:5" ht="12.75">
      <c r="A81" s="61"/>
      <c r="B81" s="6" t="s">
        <v>118</v>
      </c>
      <c r="C81" s="41"/>
      <c r="D81" s="15"/>
      <c r="E81" s="12"/>
    </row>
    <row r="82" spans="1:5" ht="12.75">
      <c r="A82" s="62" t="s">
        <v>166</v>
      </c>
      <c r="B82" s="6" t="s">
        <v>380</v>
      </c>
      <c r="C82" s="41">
        <v>3787</v>
      </c>
      <c r="D82" s="15"/>
      <c r="E82" s="12"/>
    </row>
    <row r="83" spans="1:5" ht="13.5" thickBot="1">
      <c r="A83" s="63" t="s">
        <v>166</v>
      </c>
      <c r="B83" s="42" t="s">
        <v>818</v>
      </c>
      <c r="C83" s="46">
        <v>208.26</v>
      </c>
      <c r="D83" s="15"/>
      <c r="E83" s="15"/>
    </row>
    <row r="84" spans="1:5" ht="12.75">
      <c r="A84" s="300" t="s">
        <v>787</v>
      </c>
      <c r="B84" s="97" t="s">
        <v>1050</v>
      </c>
      <c r="C84" s="82">
        <f>C85+C86+C88+C87+C89+C90+C92+C93+C94+C91</f>
        <v>230874.3802248891</v>
      </c>
      <c r="D84" s="15"/>
      <c r="E84" s="12"/>
    </row>
    <row r="85" spans="1:5" ht="13.5" thickBot="1">
      <c r="A85" s="40" t="s">
        <v>166</v>
      </c>
      <c r="B85" s="6" t="s">
        <v>227</v>
      </c>
      <c r="C85" s="41">
        <f>C42</f>
        <v>154172.30399999997</v>
      </c>
      <c r="D85" s="15"/>
      <c r="E85" s="12"/>
    </row>
    <row r="86" spans="1:5" ht="12.75">
      <c r="A86" s="40" t="s">
        <v>166</v>
      </c>
      <c r="B86" s="6" t="s">
        <v>370</v>
      </c>
      <c r="C86" s="317">
        <f>401410.25/185335.63*C7</f>
        <v>7747.482797964968</v>
      </c>
      <c r="D86" s="375" t="s">
        <v>683</v>
      </c>
      <c r="E86" s="376"/>
    </row>
    <row r="87" spans="1:5" ht="12.75">
      <c r="A87" s="73" t="s">
        <v>166</v>
      </c>
      <c r="B87" s="74" t="s">
        <v>397</v>
      </c>
      <c r="C87" s="317">
        <f>435991.01/185335.63*C7</f>
        <v>8414.914292902016</v>
      </c>
      <c r="D87" s="377" t="s">
        <v>684</v>
      </c>
      <c r="E87" s="378"/>
    </row>
    <row r="88" spans="1:5" ht="12.75">
      <c r="A88" s="71" t="s">
        <v>166</v>
      </c>
      <c r="B88" s="72" t="s">
        <v>416</v>
      </c>
      <c r="C88" s="317">
        <f>1082167/226605.83*C7</f>
        <v>17082.612462794976</v>
      </c>
      <c r="D88" s="379" t="s">
        <v>685</v>
      </c>
      <c r="E88" s="380"/>
    </row>
    <row r="89" spans="1:5" ht="25.5">
      <c r="A89" s="73" t="s">
        <v>166</v>
      </c>
      <c r="B89" s="72" t="s">
        <v>676</v>
      </c>
      <c r="C89" s="318">
        <f>845684.35/242356.05*D66</f>
        <v>16113.138595034043</v>
      </c>
      <c r="D89" s="381" t="s">
        <v>686</v>
      </c>
      <c r="E89" s="382"/>
    </row>
    <row r="90" spans="1:5" ht="12.75">
      <c r="A90" s="73" t="s">
        <v>166</v>
      </c>
      <c r="B90" s="74" t="s">
        <v>808</v>
      </c>
      <c r="C90" s="318">
        <f>642562.44/242356.05*D66</f>
        <v>12242.981263261221</v>
      </c>
      <c r="D90" s="371" t="s">
        <v>687</v>
      </c>
      <c r="E90" s="372"/>
    </row>
    <row r="91" spans="1:5" ht="12.75">
      <c r="A91" s="73" t="s">
        <v>166</v>
      </c>
      <c r="B91" s="74" t="s">
        <v>826</v>
      </c>
      <c r="C91" s="318">
        <f>51615/196822.43*D66</f>
        <v>1210.9523569036314</v>
      </c>
      <c r="D91" s="371" t="s">
        <v>688</v>
      </c>
      <c r="E91" s="372"/>
    </row>
    <row r="92" spans="1:5" ht="12.75">
      <c r="A92" s="73" t="s">
        <v>166</v>
      </c>
      <c r="B92" s="74" t="s">
        <v>655</v>
      </c>
      <c r="C92" s="318">
        <f>129011.28/196822.43*D66</f>
        <v>3026.7657383154956</v>
      </c>
      <c r="D92" s="371" t="s">
        <v>689</v>
      </c>
      <c r="E92" s="372"/>
    </row>
    <row r="93" spans="1:5" ht="12.75">
      <c r="A93" s="73" t="s">
        <v>166</v>
      </c>
      <c r="B93" s="74" t="s">
        <v>656</v>
      </c>
      <c r="C93" s="318">
        <f>164128/196822.43*D66</f>
        <v>3850.647843337774</v>
      </c>
      <c r="D93" s="373" t="s">
        <v>690</v>
      </c>
      <c r="E93" s="374"/>
    </row>
    <row r="94" spans="1:5" ht="13.5" thickBot="1">
      <c r="A94" s="75" t="s">
        <v>166</v>
      </c>
      <c r="B94" s="76" t="s">
        <v>809</v>
      </c>
      <c r="C94" s="319">
        <f>298900.58/196822.43*D66</f>
        <v>7012.580874374938</v>
      </c>
      <c r="D94" s="369" t="s">
        <v>691</v>
      </c>
      <c r="E94" s="370"/>
    </row>
    <row r="95" ht="13.5" thickBot="1"/>
    <row r="96" spans="2:5" ht="26.25" thickBot="1">
      <c r="B96" s="143"/>
      <c r="C96" s="205" t="s">
        <v>104</v>
      </c>
      <c r="D96" s="236" t="s">
        <v>306</v>
      </c>
      <c r="E96" s="130" t="s">
        <v>305</v>
      </c>
    </row>
    <row r="97" spans="2:5" ht="13.5" thickBot="1">
      <c r="B97" s="363" t="s">
        <v>970</v>
      </c>
      <c r="C97" s="364"/>
      <c r="D97" s="364"/>
      <c r="E97" s="368"/>
    </row>
    <row r="98" spans="2:5" ht="12.75">
      <c r="B98" s="140" t="s">
        <v>285</v>
      </c>
      <c r="C98" s="141">
        <v>263206.69</v>
      </c>
      <c r="D98" s="44">
        <v>288471.23</v>
      </c>
      <c r="E98" s="144">
        <f aca="true" t="shared" si="1" ref="E98:E103">D98-C98</f>
        <v>25264.53999999998</v>
      </c>
    </row>
    <row r="99" spans="2:5" ht="12.75">
      <c r="B99" s="115" t="s">
        <v>637</v>
      </c>
      <c r="C99" s="5">
        <v>145266.86</v>
      </c>
      <c r="D99" s="45">
        <v>159689.43</v>
      </c>
      <c r="E99" s="145">
        <f t="shared" si="1"/>
        <v>14422.570000000007</v>
      </c>
    </row>
    <row r="100" spans="2:5" ht="12.75">
      <c r="B100" s="116" t="s">
        <v>232</v>
      </c>
      <c r="C100" s="5">
        <v>28941.15</v>
      </c>
      <c r="D100" s="45">
        <v>58349.58</v>
      </c>
      <c r="E100" s="145">
        <f t="shared" si="1"/>
        <v>29408.43</v>
      </c>
    </row>
    <row r="101" spans="2:5" ht="12.75">
      <c r="B101" s="116" t="s">
        <v>377</v>
      </c>
      <c r="C101" s="5">
        <v>52000</v>
      </c>
      <c r="D101" s="45">
        <v>52000</v>
      </c>
      <c r="E101" s="145">
        <f t="shared" si="1"/>
        <v>0</v>
      </c>
    </row>
    <row r="102" spans="2:5" ht="13.5" thickBot="1">
      <c r="B102" s="116" t="s">
        <v>113</v>
      </c>
      <c r="C102" s="65">
        <v>31345.91</v>
      </c>
      <c r="D102" s="131">
        <v>30960.07</v>
      </c>
      <c r="E102" s="146">
        <f t="shared" si="1"/>
        <v>-385.84000000000015</v>
      </c>
    </row>
    <row r="103" spans="2:5" ht="13.5" thickBot="1">
      <c r="B103" s="202"/>
      <c r="C103" s="249">
        <f>SUM(C98:C102)</f>
        <v>520760.61</v>
      </c>
      <c r="D103" s="249">
        <f>SUM(D98:D102)</f>
        <v>589470.3099999999</v>
      </c>
      <c r="E103" s="148">
        <f t="shared" si="1"/>
        <v>68709.69999999995</v>
      </c>
    </row>
    <row r="104" spans="2:5" ht="13.5" thickBot="1">
      <c r="B104" s="363" t="s">
        <v>1054</v>
      </c>
      <c r="C104" s="364"/>
      <c r="D104" s="364"/>
      <c r="E104" s="365"/>
    </row>
    <row r="105" spans="2:5" ht="12.75">
      <c r="B105" s="140" t="s">
        <v>285</v>
      </c>
      <c r="C105" s="154">
        <v>370844.34</v>
      </c>
      <c r="D105" s="155">
        <v>374361.02</v>
      </c>
      <c r="E105" s="44">
        <f aca="true" t="shared" si="2" ref="E105:E111">D105-C105</f>
        <v>3516.679999999993</v>
      </c>
    </row>
    <row r="106" spans="2:5" ht="12.75">
      <c r="B106" s="115" t="s">
        <v>637</v>
      </c>
      <c r="C106" s="149">
        <v>180930</v>
      </c>
      <c r="D106" s="34">
        <v>184091</v>
      </c>
      <c r="E106" s="45">
        <f t="shared" si="2"/>
        <v>3161</v>
      </c>
    </row>
    <row r="107" spans="2:5" ht="12.75">
      <c r="B107" s="116" t="s">
        <v>633</v>
      </c>
      <c r="C107" s="150">
        <v>29187.13</v>
      </c>
      <c r="D107" s="83">
        <v>31230.55</v>
      </c>
      <c r="E107" s="45">
        <f t="shared" si="2"/>
        <v>2043.4199999999983</v>
      </c>
    </row>
    <row r="108" spans="2:5" ht="12.75">
      <c r="B108" s="116" t="s">
        <v>113</v>
      </c>
      <c r="C108" s="150">
        <v>8945.95</v>
      </c>
      <c r="D108" s="83">
        <v>8000.16</v>
      </c>
      <c r="E108" s="45">
        <f t="shared" si="2"/>
        <v>-945.7900000000009</v>
      </c>
    </row>
    <row r="109" spans="2:5" ht="12.75">
      <c r="B109" s="116" t="s">
        <v>232</v>
      </c>
      <c r="C109" s="150">
        <v>77957.74</v>
      </c>
      <c r="D109" s="83">
        <v>106122.33</v>
      </c>
      <c r="E109" s="45">
        <f t="shared" si="2"/>
        <v>28164.589999999997</v>
      </c>
    </row>
    <row r="110" spans="2:5" ht="12.75">
      <c r="B110" s="116" t="s">
        <v>377</v>
      </c>
      <c r="C110" s="150">
        <v>30000</v>
      </c>
      <c r="D110" s="83">
        <v>30000</v>
      </c>
      <c r="E110" s="45">
        <f t="shared" si="2"/>
        <v>0</v>
      </c>
    </row>
    <row r="111" spans="2:5" ht="26.25" thickBot="1">
      <c r="B111" s="156" t="s">
        <v>119</v>
      </c>
      <c r="C111" s="151">
        <v>2500</v>
      </c>
      <c r="D111" s="142">
        <v>2500</v>
      </c>
      <c r="E111" s="246">
        <f t="shared" si="2"/>
        <v>0</v>
      </c>
    </row>
    <row r="112" spans="2:5" ht="13.5" thickBot="1">
      <c r="B112" s="153"/>
      <c r="C112" s="304">
        <f>SUM(C105:C111)</f>
        <v>700365.16</v>
      </c>
      <c r="D112" s="306">
        <f>SUM(D105:D111)</f>
        <v>736305.06</v>
      </c>
      <c r="E112" s="305">
        <f>SUM(E105:E111)</f>
        <v>35939.89999999999</v>
      </c>
    </row>
    <row r="113" spans="2:5" ht="13.5" thickBot="1">
      <c r="B113" s="363" t="s">
        <v>168</v>
      </c>
      <c r="C113" s="364"/>
      <c r="D113" s="364"/>
      <c r="E113" s="365"/>
    </row>
    <row r="114" spans="2:5" ht="12.75">
      <c r="B114" s="140" t="s">
        <v>285</v>
      </c>
      <c r="C114" s="234">
        <v>370456.54</v>
      </c>
      <c r="D114" s="155">
        <v>387783.36</v>
      </c>
      <c r="E114" s="253">
        <f aca="true" t="shared" si="3" ref="E114:E119">D114-C114</f>
        <v>17326.820000000007</v>
      </c>
    </row>
    <row r="115" spans="2:5" ht="12.75">
      <c r="B115" s="115" t="s">
        <v>637</v>
      </c>
      <c r="C115" s="10">
        <v>180231.97</v>
      </c>
      <c r="D115" s="34">
        <v>188543.4</v>
      </c>
      <c r="E115" s="53">
        <f t="shared" si="3"/>
        <v>8311.429999999993</v>
      </c>
    </row>
    <row r="116" spans="2:5" ht="12.75">
      <c r="B116" s="116" t="s">
        <v>232</v>
      </c>
      <c r="C116" s="67">
        <v>140791.44</v>
      </c>
      <c r="D116" s="83">
        <v>173978.01</v>
      </c>
      <c r="E116" s="53">
        <f t="shared" si="3"/>
        <v>33186.57000000001</v>
      </c>
    </row>
    <row r="117" spans="2:5" ht="12.75">
      <c r="B117" s="116" t="s">
        <v>372</v>
      </c>
      <c r="C117" s="94">
        <v>10000</v>
      </c>
      <c r="D117" s="83">
        <v>10000</v>
      </c>
      <c r="E117" s="53">
        <f t="shared" si="3"/>
        <v>0</v>
      </c>
    </row>
    <row r="118" spans="2:5" ht="12.75">
      <c r="B118" s="116" t="s">
        <v>377</v>
      </c>
      <c r="C118" s="94">
        <v>81501.11</v>
      </c>
      <c r="D118" s="83">
        <v>96501.11</v>
      </c>
      <c r="E118" s="53">
        <f t="shared" si="3"/>
        <v>15000</v>
      </c>
    </row>
    <row r="119" spans="2:5" ht="13.5" thickBot="1">
      <c r="B119" s="157" t="s">
        <v>633</v>
      </c>
      <c r="C119" s="247">
        <v>32874.29</v>
      </c>
      <c r="D119" s="226">
        <v>34549.2</v>
      </c>
      <c r="E119" s="262">
        <f t="shared" si="3"/>
        <v>1674.9099999999962</v>
      </c>
    </row>
    <row r="120" spans="2:5" ht="13.5" thickBot="1">
      <c r="B120" s="153"/>
      <c r="C120" s="304">
        <f>SUM(C114:C119)</f>
        <v>815855.35</v>
      </c>
      <c r="D120" s="306">
        <f>SUM(D114:D119)</f>
        <v>891355.08</v>
      </c>
      <c r="E120" s="305">
        <f>SUM(E114:E119)</f>
        <v>75499.73000000001</v>
      </c>
    </row>
    <row r="121" spans="2:5" ht="13.5" thickBot="1">
      <c r="B121" s="363" t="s">
        <v>795</v>
      </c>
      <c r="C121" s="364"/>
      <c r="D121" s="364"/>
      <c r="E121" s="365"/>
    </row>
    <row r="122" spans="2:5" ht="12.75">
      <c r="B122" s="140" t="s">
        <v>285</v>
      </c>
      <c r="C122" s="141">
        <v>513432.79</v>
      </c>
      <c r="D122" s="155">
        <v>501167.07</v>
      </c>
      <c r="E122" s="253">
        <f aca="true" t="shared" si="4" ref="E122:E129">D122-C122</f>
        <v>-12265.719999999972</v>
      </c>
    </row>
    <row r="123" spans="2:5" ht="12.75">
      <c r="B123" s="115" t="s">
        <v>637</v>
      </c>
      <c r="C123" s="5">
        <v>250871.34</v>
      </c>
      <c r="D123" s="33">
        <v>243717.14</v>
      </c>
      <c r="E123" s="53">
        <f t="shared" si="4"/>
        <v>-7154.1999999999825</v>
      </c>
    </row>
    <row r="124" spans="2:5" ht="12.75">
      <c r="B124" s="115" t="s">
        <v>633</v>
      </c>
      <c r="C124" s="65">
        <v>44949</v>
      </c>
      <c r="D124" s="70">
        <v>44734.45</v>
      </c>
      <c r="E124" s="53">
        <f t="shared" si="4"/>
        <v>-214.5500000000029</v>
      </c>
    </row>
    <row r="125" spans="2:5" ht="12.75">
      <c r="B125" s="278" t="s">
        <v>792</v>
      </c>
      <c r="C125" s="122">
        <v>600</v>
      </c>
      <c r="D125" s="122">
        <v>800</v>
      </c>
      <c r="E125" s="81">
        <f t="shared" si="4"/>
        <v>200</v>
      </c>
    </row>
    <row r="126" spans="2:5" ht="12.75">
      <c r="B126" s="278" t="s">
        <v>364</v>
      </c>
      <c r="C126" s="122">
        <v>67643.69</v>
      </c>
      <c r="D126" s="122">
        <v>73086.77</v>
      </c>
      <c r="E126" s="53">
        <f t="shared" si="4"/>
        <v>5443.080000000002</v>
      </c>
    </row>
    <row r="127" spans="2:5" ht="12.75">
      <c r="B127" s="115" t="s">
        <v>805</v>
      </c>
      <c r="C127" s="67">
        <v>81172.56</v>
      </c>
      <c r="D127" s="83">
        <v>100566.92</v>
      </c>
      <c r="E127" s="53">
        <f t="shared" si="4"/>
        <v>19394.36</v>
      </c>
    </row>
    <row r="128" spans="2:5" ht="12.75">
      <c r="B128" s="116" t="s">
        <v>205</v>
      </c>
      <c r="C128" s="94">
        <v>55932</v>
      </c>
      <c r="D128" s="83">
        <v>70932</v>
      </c>
      <c r="E128" s="81">
        <f t="shared" si="4"/>
        <v>15000</v>
      </c>
    </row>
    <row r="129" spans="2:5" ht="13.5" thickBot="1">
      <c r="B129" s="157" t="s">
        <v>1200</v>
      </c>
      <c r="C129" s="229">
        <v>29298.04</v>
      </c>
      <c r="D129" s="229">
        <v>29298.04</v>
      </c>
      <c r="E129" s="262">
        <f t="shared" si="4"/>
        <v>0</v>
      </c>
    </row>
    <row r="130" spans="2:5" ht="13.5" thickBot="1">
      <c r="B130" s="153"/>
      <c r="C130" s="152">
        <f>SUM(C122:C129)</f>
        <v>1043899.4200000002</v>
      </c>
      <c r="D130" s="138">
        <f>SUM(D122:D129)</f>
        <v>1064302.39</v>
      </c>
      <c r="E130" s="206">
        <f>SUM(E122:E129)</f>
        <v>20402.970000000045</v>
      </c>
    </row>
    <row r="131" spans="2:5" ht="13.5" thickBot="1">
      <c r="B131" s="363" t="s">
        <v>87</v>
      </c>
      <c r="C131" s="364"/>
      <c r="D131" s="364"/>
      <c r="E131" s="365"/>
    </row>
    <row r="132" spans="2:5" ht="12.75">
      <c r="B132" s="140" t="s">
        <v>285</v>
      </c>
      <c r="C132" s="234">
        <v>427603.48</v>
      </c>
      <c r="D132" s="218">
        <v>436342.99</v>
      </c>
      <c r="E132" s="253">
        <f aca="true" t="shared" si="5" ref="E132:E139">D132-C132</f>
        <v>8739.51000000001</v>
      </c>
    </row>
    <row r="133" spans="2:5" ht="12.75">
      <c r="B133" s="115" t="s">
        <v>637</v>
      </c>
      <c r="C133" s="10">
        <v>208300.78</v>
      </c>
      <c r="D133" s="98">
        <v>217417.08</v>
      </c>
      <c r="E133" s="53">
        <f t="shared" si="5"/>
        <v>9116.299999999988</v>
      </c>
    </row>
    <row r="134" spans="2:5" ht="12.75">
      <c r="B134" s="115" t="s">
        <v>364</v>
      </c>
      <c r="C134" s="10">
        <v>50740.95</v>
      </c>
      <c r="D134" s="98">
        <v>49477.28</v>
      </c>
      <c r="E134" s="53">
        <f t="shared" si="5"/>
        <v>-1263.6699999999983</v>
      </c>
    </row>
    <row r="135" spans="2:5" ht="12.75">
      <c r="B135" s="115" t="s">
        <v>633</v>
      </c>
      <c r="C135" s="10">
        <v>52599.19</v>
      </c>
      <c r="D135" s="98">
        <v>55392.42</v>
      </c>
      <c r="E135" s="81">
        <f t="shared" si="5"/>
        <v>2793.229999999996</v>
      </c>
    </row>
    <row r="136" spans="2:5" ht="12.75">
      <c r="B136" s="115" t="s">
        <v>29</v>
      </c>
      <c r="C136" s="10">
        <f>2400+3300+30000+14112+2700+60000</f>
        <v>112512</v>
      </c>
      <c r="D136" s="98">
        <f>2400+3600+30000+14112+2700+30000</f>
        <v>82812</v>
      </c>
      <c r="E136" s="81">
        <f t="shared" si="5"/>
        <v>-29700</v>
      </c>
    </row>
    <row r="137" spans="2:5" ht="12.75">
      <c r="B137" s="115" t="s">
        <v>648</v>
      </c>
      <c r="C137" s="10">
        <v>19156.33</v>
      </c>
      <c r="D137" s="98">
        <v>19639.28</v>
      </c>
      <c r="E137" s="53">
        <f t="shared" si="5"/>
        <v>482.9499999999971</v>
      </c>
    </row>
    <row r="138" spans="2:5" ht="12.75">
      <c r="B138" s="115" t="s">
        <v>805</v>
      </c>
      <c r="C138" s="125">
        <f>26806.19+21200+16844.94+32818.93+31867.28+18852.92</f>
        <v>148390.26</v>
      </c>
      <c r="D138" s="125">
        <f>29261.41+410059.56+16844.94+32818.93+14996.85+26577.88</f>
        <v>530559.57</v>
      </c>
      <c r="E138" s="53">
        <f t="shared" si="5"/>
        <v>382169.30999999994</v>
      </c>
    </row>
    <row r="139" spans="2:5" ht="13.5" thickBot="1">
      <c r="B139" s="266" t="s">
        <v>1088</v>
      </c>
      <c r="C139" s="142">
        <v>5466.69</v>
      </c>
      <c r="D139" s="142">
        <v>5466.69</v>
      </c>
      <c r="E139" s="262">
        <f t="shared" si="5"/>
        <v>0</v>
      </c>
    </row>
    <row r="140" spans="2:5" ht="13.5" thickBot="1">
      <c r="B140" s="153"/>
      <c r="C140" s="152">
        <f>SUM(C132:C139)</f>
        <v>1024769.6799999998</v>
      </c>
      <c r="D140" s="138">
        <f>SUM(D132:D139)</f>
        <v>1397107.31</v>
      </c>
      <c r="E140" s="206">
        <f>SUM(E132:E139)</f>
        <v>372337.62999999995</v>
      </c>
    </row>
    <row r="141" spans="2:5" ht="13.5" thickBot="1">
      <c r="B141" s="366" t="s">
        <v>379</v>
      </c>
      <c r="C141" s="367"/>
      <c r="D141" s="367"/>
      <c r="E141" s="368"/>
    </row>
    <row r="142" spans="2:5" ht="13.5" thickBot="1">
      <c r="B142" s="153"/>
      <c r="C142" s="117">
        <f>C103+C112+C120+C130+C140</f>
        <v>4105650.2199999997</v>
      </c>
      <c r="D142" s="117">
        <f>D103+D112+D120+D130+D140</f>
        <v>4678540.15</v>
      </c>
      <c r="E142" s="117">
        <f>E103+E112+E120+E130+E140</f>
        <v>572889.9299999999</v>
      </c>
    </row>
  </sheetData>
  <sheetProtection/>
  <mergeCells count="20">
    <mergeCell ref="B131:E131"/>
    <mergeCell ref="B141:E141"/>
    <mergeCell ref="D93:E93"/>
    <mergeCell ref="D94:E94"/>
    <mergeCell ref="B97:E97"/>
    <mergeCell ref="B104:E104"/>
    <mergeCell ref="B113:E113"/>
    <mergeCell ref="B121:E121"/>
    <mergeCell ref="D87:E87"/>
    <mergeCell ref="D88:E88"/>
    <mergeCell ref="D89:E89"/>
    <mergeCell ref="D90:E90"/>
    <mergeCell ref="D91:E91"/>
    <mergeCell ref="D92:E92"/>
    <mergeCell ref="C2:E2"/>
    <mergeCell ref="B3:E3"/>
    <mergeCell ref="A5:E5"/>
    <mergeCell ref="A20:D20"/>
    <mergeCell ref="D24:E24"/>
    <mergeCell ref="D86:E86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9"/>
  <sheetViews>
    <sheetView zoomScalePageLayoutView="0" workbookViewId="0" topLeftCell="A1">
      <selection activeCell="E87" sqref="E87"/>
    </sheetView>
  </sheetViews>
  <sheetFormatPr defaultColWidth="9.00390625" defaultRowHeight="12.75"/>
  <cols>
    <col min="1" max="1" width="3.125" style="0" customWidth="1"/>
    <col min="2" max="2" width="56.75390625" style="0" customWidth="1"/>
    <col min="3" max="3" width="10.625" style="0" customWidth="1"/>
    <col min="4" max="4" width="13.125" style="0" customWidth="1"/>
    <col min="5" max="5" width="12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968</v>
      </c>
      <c r="C7" s="26"/>
      <c r="D7" s="24"/>
    </row>
    <row r="8" spans="1:4" ht="15">
      <c r="A8" s="26"/>
      <c r="B8" s="27" t="s">
        <v>115</v>
      </c>
      <c r="C8" s="38">
        <v>3440.7</v>
      </c>
      <c r="D8" s="92" t="s">
        <v>116</v>
      </c>
    </row>
    <row r="9" spans="1:4" ht="15">
      <c r="A9" s="26"/>
      <c r="B9" s="27" t="s">
        <v>654</v>
      </c>
      <c r="C9" s="93">
        <v>636.3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404617.5</v>
      </c>
      <c r="D12" s="155">
        <v>435461.56</v>
      </c>
      <c r="E12" s="242">
        <f>D12-C12</f>
        <v>30844.059999999998</v>
      </c>
    </row>
    <row r="13" spans="1:5" ht="12.75">
      <c r="A13" s="84">
        <v>2</v>
      </c>
      <c r="B13" s="5" t="s">
        <v>637</v>
      </c>
      <c r="C13" s="5">
        <v>199567.42</v>
      </c>
      <c r="D13" s="33">
        <v>214809.18</v>
      </c>
      <c r="E13" s="57">
        <f>D13-C13</f>
        <v>15241.75999999998</v>
      </c>
    </row>
    <row r="14" spans="1:5" ht="12.75">
      <c r="A14" s="87">
        <v>3</v>
      </c>
      <c r="B14" s="5" t="s">
        <v>633</v>
      </c>
      <c r="C14" s="65">
        <v>46987.58</v>
      </c>
      <c r="D14" s="70">
        <v>49636.36</v>
      </c>
      <c r="E14" s="57">
        <f>D14-C14</f>
        <v>2648.779999999999</v>
      </c>
    </row>
    <row r="15" spans="1:5" ht="13.5" thickBot="1">
      <c r="A15" s="87">
        <v>4</v>
      </c>
      <c r="B15" s="5" t="s">
        <v>93</v>
      </c>
      <c r="C15" s="67">
        <v>116326.33</v>
      </c>
      <c r="D15" s="83">
        <v>117337.29</v>
      </c>
      <c r="E15" s="57">
        <f>D15-C15</f>
        <v>1010.9599999999919</v>
      </c>
    </row>
    <row r="16" spans="1:5" ht="13.5" thickBot="1">
      <c r="A16" s="208"/>
      <c r="B16" s="209"/>
      <c r="C16" s="135">
        <f>SUM(C12:C15)</f>
        <v>767498.83</v>
      </c>
      <c r="D16" s="135">
        <f>SUM(D12:D15)</f>
        <v>817244.39</v>
      </c>
      <c r="E16" s="136">
        <f>SUM(E12:E15)</f>
        <v>49745.55999999997</v>
      </c>
    </row>
    <row r="17" spans="1:5" ht="12.75">
      <c r="A17" s="385" t="s">
        <v>793</v>
      </c>
      <c r="B17" s="386"/>
      <c r="C17" s="386"/>
      <c r="D17" s="386"/>
      <c r="E17" s="108">
        <f>E119</f>
        <v>125791.37200000005</v>
      </c>
    </row>
    <row r="18" spans="1:5" ht="12.75">
      <c r="A18" s="387" t="s">
        <v>794</v>
      </c>
      <c r="B18" s="384"/>
      <c r="C18" s="384"/>
      <c r="D18" s="384"/>
      <c r="E18" s="22">
        <v>276671.82</v>
      </c>
    </row>
    <row r="19" spans="1:2" ht="12.75">
      <c r="A19" s="37"/>
      <c r="B19" s="3" t="s">
        <v>217</v>
      </c>
    </row>
    <row r="20" spans="1:2" ht="13.5" thickBot="1">
      <c r="A20" s="37"/>
      <c r="B20" s="30" t="s">
        <v>964</v>
      </c>
    </row>
    <row r="21" spans="1:5" ht="12.75">
      <c r="A21" s="86">
        <v>1</v>
      </c>
      <c r="B21" s="64" t="s">
        <v>417</v>
      </c>
      <c r="C21" s="80">
        <f>C56</f>
        <v>466188.8</v>
      </c>
      <c r="E21" s="29"/>
    </row>
    <row r="22" spans="1:5" ht="12.75">
      <c r="A22" s="91">
        <v>2</v>
      </c>
      <c r="B22" s="25" t="s">
        <v>344</v>
      </c>
      <c r="C22" s="102">
        <f>C64</f>
        <v>14841.31</v>
      </c>
      <c r="D22" s="388"/>
      <c r="E22" s="389"/>
    </row>
    <row r="23" spans="1:5" ht="12.75">
      <c r="A23" s="84">
        <v>3</v>
      </c>
      <c r="B23" s="9" t="s">
        <v>649</v>
      </c>
      <c r="C23" s="48">
        <v>16605.2</v>
      </c>
      <c r="E23" s="29"/>
    </row>
    <row r="24" spans="1:5" ht="12.75">
      <c r="A24" s="84">
        <v>4</v>
      </c>
      <c r="B24" s="9" t="s">
        <v>122</v>
      </c>
      <c r="C24" s="48">
        <f>(C8*0.55*12)</f>
        <v>22708.62</v>
      </c>
      <c r="E24" s="29"/>
    </row>
    <row r="25" spans="1:5" ht="12.75">
      <c r="A25" s="84">
        <v>5</v>
      </c>
      <c r="B25" s="9" t="s">
        <v>658</v>
      </c>
      <c r="C25" s="79">
        <v>26559</v>
      </c>
      <c r="E25" s="29"/>
    </row>
    <row r="26" spans="1:5" ht="25.5">
      <c r="A26" s="91">
        <v>6</v>
      </c>
      <c r="B26" s="25" t="s">
        <v>441</v>
      </c>
      <c r="C26" s="96">
        <v>1029.38</v>
      </c>
      <c r="E26" s="29"/>
    </row>
    <row r="27" spans="1:3" ht="12.75">
      <c r="A27" s="50"/>
      <c r="B27" s="20" t="s">
        <v>629</v>
      </c>
      <c r="C27" s="51">
        <f>SUM(C21:C26)</f>
        <v>547932.3099999999</v>
      </c>
    </row>
    <row r="28" spans="1:3" ht="12.75">
      <c r="A28" s="49"/>
      <c r="B28" s="8" t="s">
        <v>965</v>
      </c>
      <c r="C28" s="45"/>
    </row>
    <row r="29" spans="1:3" ht="12.75">
      <c r="A29" s="84">
        <v>1</v>
      </c>
      <c r="B29" s="9" t="s">
        <v>228</v>
      </c>
      <c r="C29" s="48">
        <f>(C16)*15%</f>
        <v>115124.82449999999</v>
      </c>
    </row>
    <row r="30" spans="1:3" ht="12.75">
      <c r="A30" s="84">
        <v>2</v>
      </c>
      <c r="B30" s="9" t="s">
        <v>813</v>
      </c>
      <c r="C30" s="48">
        <f>C70</f>
        <v>7452.060066243064</v>
      </c>
    </row>
    <row r="31" spans="1:3" ht="12.75">
      <c r="A31" s="84">
        <v>3</v>
      </c>
      <c r="B31" s="9" t="s">
        <v>653</v>
      </c>
      <c r="C31" s="48">
        <f>C71</f>
        <v>8094.041432330091</v>
      </c>
    </row>
    <row r="32" spans="1:3" ht="12.75">
      <c r="A32" s="84">
        <v>4</v>
      </c>
      <c r="B32" s="9" t="s">
        <v>1114</v>
      </c>
      <c r="C32" s="52">
        <f>C72</f>
        <v>20090.10354296149</v>
      </c>
    </row>
    <row r="33" spans="1:3" ht="12.75">
      <c r="A33" s="84">
        <v>5</v>
      </c>
      <c r="B33" s="9" t="s">
        <v>162</v>
      </c>
      <c r="C33" s="52">
        <f>C73</f>
        <v>17517.592354438468</v>
      </c>
    </row>
    <row r="34" spans="1:3" ht="12.75">
      <c r="A34" s="84">
        <v>6</v>
      </c>
      <c r="B34" s="9" t="s">
        <v>1051</v>
      </c>
      <c r="C34" s="48">
        <f>C74+C76+C77+C78+C75</f>
        <v>26802.37334860666</v>
      </c>
    </row>
    <row r="35" spans="1:3" ht="12.75">
      <c r="A35" s="49"/>
      <c r="B35" s="74" t="s">
        <v>809</v>
      </c>
      <c r="C35" s="53"/>
    </row>
    <row r="36" spans="1:3" ht="12.75">
      <c r="A36" s="49"/>
      <c r="B36" s="5" t="s">
        <v>655</v>
      </c>
      <c r="C36" s="53"/>
    </row>
    <row r="37" spans="1:3" ht="12.75">
      <c r="A37" s="49"/>
      <c r="B37" s="74" t="s">
        <v>656</v>
      </c>
      <c r="C37" s="53"/>
    </row>
    <row r="38" spans="1:3" ht="12.75">
      <c r="A38" s="49"/>
      <c r="B38" s="74" t="s">
        <v>808</v>
      </c>
      <c r="C38" s="53"/>
    </row>
    <row r="39" spans="1:3" ht="12.75">
      <c r="A39" s="50"/>
      <c r="B39" s="20" t="s">
        <v>629</v>
      </c>
      <c r="C39" s="51">
        <f>C29+C30+C31+C32+C33+C34</f>
        <v>195080.99524457977</v>
      </c>
    </row>
    <row r="40" spans="1:3" ht="12.75">
      <c r="A40" s="49"/>
      <c r="B40" s="7" t="s">
        <v>966</v>
      </c>
      <c r="C40" s="45"/>
    </row>
    <row r="41" spans="1:3" ht="12.75">
      <c r="A41" s="84">
        <v>1</v>
      </c>
      <c r="B41" s="9" t="s">
        <v>631</v>
      </c>
      <c r="C41" s="48">
        <f>C16*2%</f>
        <v>15349.9766</v>
      </c>
    </row>
    <row r="42" spans="1:3" ht="12.75">
      <c r="A42" s="84">
        <v>2</v>
      </c>
      <c r="B42" s="9" t="s">
        <v>391</v>
      </c>
      <c r="C42" s="48">
        <f>C43</f>
        <v>46049.9298</v>
      </c>
    </row>
    <row r="43" spans="1:4" ht="12.75">
      <c r="A43" s="49"/>
      <c r="B43" s="5" t="s">
        <v>334</v>
      </c>
      <c r="C43" s="41">
        <f>C16*6%</f>
        <v>46049.9298</v>
      </c>
      <c r="D43" s="19"/>
    </row>
    <row r="44" spans="1:3" ht="13.5" thickBot="1">
      <c r="A44" s="54"/>
      <c r="B44" s="55" t="s">
        <v>967</v>
      </c>
      <c r="C44" s="56">
        <f>C41+C42</f>
        <v>61399.9064</v>
      </c>
    </row>
    <row r="45" spans="1:3" ht="12.75">
      <c r="A45" s="23"/>
      <c r="B45" s="4" t="s">
        <v>288</v>
      </c>
      <c r="C45" s="11">
        <f>C27+C39+C44</f>
        <v>804413.2116445797</v>
      </c>
    </row>
    <row r="46" spans="1:3" ht="12.75">
      <c r="A46" s="23"/>
      <c r="B46" s="77"/>
      <c r="C46" s="1"/>
    </row>
    <row r="47" spans="1:3" ht="15">
      <c r="A47" s="23"/>
      <c r="B47" s="14" t="s">
        <v>975</v>
      </c>
      <c r="C47" s="1">
        <v>363464.13</v>
      </c>
    </row>
    <row r="48" spans="1:3" ht="15">
      <c r="A48" s="23"/>
      <c r="B48" s="14" t="s">
        <v>94</v>
      </c>
      <c r="C48" s="11">
        <f>C16+C47-C45</f>
        <v>326549.7483554203</v>
      </c>
    </row>
    <row r="49" spans="1:3" ht="15">
      <c r="A49" s="23"/>
      <c r="B49" s="14" t="s">
        <v>95</v>
      </c>
      <c r="C49" s="11">
        <f>C48-E18</f>
        <v>49877.9283554203</v>
      </c>
    </row>
    <row r="50" spans="1:3" ht="15">
      <c r="A50" s="23"/>
      <c r="B50" s="14"/>
      <c r="C50" s="11"/>
    </row>
    <row r="51" ht="12.75">
      <c r="B51" s="1" t="s">
        <v>85</v>
      </c>
    </row>
    <row r="52" ht="12.75">
      <c r="B52" s="1" t="s">
        <v>1197</v>
      </c>
    </row>
    <row r="53" spans="1:4" ht="12.75">
      <c r="A53" s="2"/>
      <c r="B53" s="2"/>
      <c r="C53" s="2" t="s">
        <v>790</v>
      </c>
      <c r="D53" s="2"/>
    </row>
    <row r="54" spans="1:4" ht="12.75">
      <c r="A54" s="2"/>
      <c r="B54" s="2"/>
      <c r="C54" s="2" t="s">
        <v>295</v>
      </c>
      <c r="D54" s="2"/>
    </row>
    <row r="55" spans="1:5" ht="13.5" thickBot="1">
      <c r="A55" s="37"/>
      <c r="B55" s="37" t="s">
        <v>969</v>
      </c>
      <c r="C55" s="32" t="s">
        <v>886</v>
      </c>
      <c r="D55" s="114">
        <f>C8+C9</f>
        <v>4077</v>
      </c>
      <c r="E55" t="s">
        <v>116</v>
      </c>
    </row>
    <row r="56" spans="1:5" ht="12.75">
      <c r="A56" s="60" t="s">
        <v>218</v>
      </c>
      <c r="B56" s="39" t="s">
        <v>286</v>
      </c>
      <c r="C56" s="47">
        <v>466188.8</v>
      </c>
      <c r="D56" s="15"/>
      <c r="E56" s="21"/>
    </row>
    <row r="57" spans="1:5" ht="12.75">
      <c r="A57" s="61"/>
      <c r="B57" s="6" t="s">
        <v>118</v>
      </c>
      <c r="C57" s="41"/>
      <c r="D57" s="15"/>
      <c r="E57" s="21"/>
    </row>
    <row r="58" spans="1:5" ht="12.75">
      <c r="A58" s="62" t="s">
        <v>166</v>
      </c>
      <c r="B58" s="6" t="s">
        <v>380</v>
      </c>
      <c r="C58" s="41">
        <v>280</v>
      </c>
      <c r="D58" s="15"/>
      <c r="E58" s="15"/>
    </row>
    <row r="59" spans="1:5" ht="12.75">
      <c r="A59" s="62" t="s">
        <v>166</v>
      </c>
      <c r="B59" s="6" t="s">
        <v>210</v>
      </c>
      <c r="C59" s="41">
        <v>19959.68</v>
      </c>
      <c r="D59" s="15"/>
      <c r="E59" s="15"/>
    </row>
    <row r="60" spans="1:5" ht="12.75">
      <c r="A60" s="62" t="s">
        <v>166</v>
      </c>
      <c r="B60" s="6" t="s">
        <v>440</v>
      </c>
      <c r="C60" s="41">
        <v>51018.32</v>
      </c>
      <c r="D60" s="15"/>
      <c r="E60" s="15"/>
    </row>
    <row r="61" spans="1:5" ht="12.75">
      <c r="A61" s="62" t="s">
        <v>166</v>
      </c>
      <c r="B61" s="6" t="s">
        <v>203</v>
      </c>
      <c r="C61" s="41">
        <v>8000</v>
      </c>
      <c r="D61" s="15"/>
      <c r="E61" s="15"/>
    </row>
    <row r="62" spans="1:5" ht="12.75">
      <c r="A62" s="62" t="s">
        <v>166</v>
      </c>
      <c r="B62" s="6" t="s">
        <v>277</v>
      </c>
      <c r="C62" s="41">
        <v>5200</v>
      </c>
      <c r="D62" s="15"/>
      <c r="E62" s="15"/>
    </row>
    <row r="63" spans="1:5" ht="13.5" thickBot="1">
      <c r="A63" s="100" t="s">
        <v>166</v>
      </c>
      <c r="B63" s="68" t="s">
        <v>5</v>
      </c>
      <c r="C63" s="69">
        <v>30834.36</v>
      </c>
      <c r="D63" s="15"/>
      <c r="E63" s="15"/>
    </row>
    <row r="64" spans="1:5" ht="12.75">
      <c r="A64" s="60" t="s">
        <v>328</v>
      </c>
      <c r="B64" s="39" t="s">
        <v>343</v>
      </c>
      <c r="C64" s="47">
        <v>14841.31</v>
      </c>
      <c r="D64" s="15"/>
      <c r="E64" s="12"/>
    </row>
    <row r="65" spans="1:5" ht="12.75">
      <c r="A65" s="61"/>
      <c r="B65" s="6" t="s">
        <v>118</v>
      </c>
      <c r="C65" s="41"/>
      <c r="D65" s="15"/>
      <c r="E65" s="12"/>
    </row>
    <row r="66" spans="1:5" ht="12.75">
      <c r="A66" s="62" t="s">
        <v>166</v>
      </c>
      <c r="B66" s="6" t="s">
        <v>380</v>
      </c>
      <c r="C66" s="41">
        <v>366</v>
      </c>
      <c r="D66" s="15"/>
      <c r="E66" s="12"/>
    </row>
    <row r="67" spans="1:5" ht="13.5" thickBot="1">
      <c r="A67" s="63" t="s">
        <v>166</v>
      </c>
      <c r="B67" s="42" t="s">
        <v>818</v>
      </c>
      <c r="C67" s="46">
        <v>1196.74</v>
      </c>
      <c r="D67" s="15"/>
      <c r="E67" s="15"/>
    </row>
    <row r="68" spans="1:5" ht="12.75">
      <c r="A68" s="300" t="s">
        <v>787</v>
      </c>
      <c r="B68" s="97" t="s">
        <v>1050</v>
      </c>
      <c r="C68" s="82">
        <f>C69+C70+C72+C71+C73+C74+C76+C77+C78+C75</f>
        <v>195080.99524457977</v>
      </c>
      <c r="D68" s="15"/>
      <c r="E68" s="12"/>
    </row>
    <row r="69" spans="1:5" ht="13.5" thickBot="1">
      <c r="A69" s="40" t="s">
        <v>166</v>
      </c>
      <c r="B69" s="6" t="s">
        <v>227</v>
      </c>
      <c r="C69" s="41">
        <f>C29</f>
        <v>115124.82449999999</v>
      </c>
      <c r="D69" s="15"/>
      <c r="E69" s="12"/>
    </row>
    <row r="70" spans="1:5" ht="12.75">
      <c r="A70" s="40" t="s">
        <v>166</v>
      </c>
      <c r="B70" s="6" t="s">
        <v>370</v>
      </c>
      <c r="C70" s="317">
        <f>401410.25/185335.63*C8</f>
        <v>7452.060066243064</v>
      </c>
      <c r="D70" s="375" t="s">
        <v>88</v>
      </c>
      <c r="E70" s="376"/>
    </row>
    <row r="71" spans="1:5" ht="12.75">
      <c r="A71" s="73" t="s">
        <v>166</v>
      </c>
      <c r="B71" s="74" t="s">
        <v>397</v>
      </c>
      <c r="C71" s="317">
        <f>435991.01/185335.63*C8</f>
        <v>8094.041432330091</v>
      </c>
      <c r="D71" s="377" t="s">
        <v>89</v>
      </c>
      <c r="E71" s="378"/>
    </row>
    <row r="72" spans="1:5" ht="12.75">
      <c r="A72" s="71" t="s">
        <v>166</v>
      </c>
      <c r="B72" s="72" t="s">
        <v>416</v>
      </c>
      <c r="C72" s="317">
        <f>1082167/185335.63*C8</f>
        <v>20090.10354296149</v>
      </c>
      <c r="D72" s="379" t="s">
        <v>96</v>
      </c>
      <c r="E72" s="380"/>
    </row>
    <row r="73" spans="1:5" ht="25.5">
      <c r="A73" s="73" t="s">
        <v>166</v>
      </c>
      <c r="B73" s="72" t="s">
        <v>231</v>
      </c>
      <c r="C73" s="318">
        <f>845684.35/196822.43*D55</f>
        <v>17517.592354438468</v>
      </c>
      <c r="D73" s="381" t="s">
        <v>97</v>
      </c>
      <c r="E73" s="382"/>
    </row>
    <row r="74" spans="1:5" ht="12.75">
      <c r="A74" s="73" t="s">
        <v>166</v>
      </c>
      <c r="B74" s="74" t="s">
        <v>808</v>
      </c>
      <c r="C74" s="318">
        <f>622234.26/196822.43*D55</f>
        <v>12889.024274418318</v>
      </c>
      <c r="D74" s="371" t="s">
        <v>98</v>
      </c>
      <c r="E74" s="372"/>
    </row>
    <row r="75" spans="1:5" ht="12.75">
      <c r="A75" s="73" t="s">
        <v>166</v>
      </c>
      <c r="B75" s="74" t="s">
        <v>826</v>
      </c>
      <c r="C75" s="318">
        <f>51615/196822.43*D55</f>
        <v>1069.1584033384813</v>
      </c>
      <c r="D75" s="371" t="s">
        <v>92</v>
      </c>
      <c r="E75" s="372"/>
    </row>
    <row r="76" spans="1:5" ht="12.75">
      <c r="A76" s="73" t="s">
        <v>166</v>
      </c>
      <c r="B76" s="74" t="s">
        <v>655</v>
      </c>
      <c r="C76" s="318">
        <f>129011.28/196822.43*D55</f>
        <v>2672.3528845772303</v>
      </c>
      <c r="D76" s="371" t="s">
        <v>90</v>
      </c>
      <c r="E76" s="372"/>
    </row>
    <row r="77" spans="1:5" ht="12.75">
      <c r="A77" s="73" t="s">
        <v>166</v>
      </c>
      <c r="B77" s="74" t="s">
        <v>656</v>
      </c>
      <c r="C77" s="318">
        <f>192158/196822.43*D55</f>
        <v>3980.3805186228014</v>
      </c>
      <c r="D77" s="373" t="s">
        <v>99</v>
      </c>
      <c r="E77" s="374"/>
    </row>
    <row r="78" spans="1:5" ht="13.5" thickBot="1">
      <c r="A78" s="75" t="s">
        <v>166</v>
      </c>
      <c r="B78" s="76" t="s">
        <v>809</v>
      </c>
      <c r="C78" s="319">
        <f>298900.58/196822.43*D55</f>
        <v>6191.45726764983</v>
      </c>
      <c r="D78" s="369" t="s">
        <v>91</v>
      </c>
      <c r="E78" s="370"/>
    </row>
    <row r="79" ht="13.5" thickBot="1"/>
    <row r="80" spans="2:5" ht="24.75" thickBot="1">
      <c r="B80" s="143"/>
      <c r="C80" s="205" t="s">
        <v>104</v>
      </c>
      <c r="D80" s="236" t="s">
        <v>306</v>
      </c>
      <c r="E80" s="130" t="s">
        <v>305</v>
      </c>
    </row>
    <row r="81" spans="2:5" ht="13.5" thickBot="1">
      <c r="B81" s="363" t="s">
        <v>979</v>
      </c>
      <c r="C81" s="364"/>
      <c r="D81" s="364"/>
      <c r="E81" s="365"/>
    </row>
    <row r="82" spans="2:5" ht="12.75">
      <c r="B82" s="140" t="s">
        <v>285</v>
      </c>
      <c r="C82" s="234">
        <v>199377.11</v>
      </c>
      <c r="D82" s="155">
        <v>215525.45</v>
      </c>
      <c r="E82" s="44">
        <f>D82-C82</f>
        <v>16148.340000000026</v>
      </c>
    </row>
    <row r="83" spans="2:5" ht="12.75">
      <c r="B83" s="115" t="s">
        <v>637</v>
      </c>
      <c r="C83" s="10">
        <v>119831.5</v>
      </c>
      <c r="D83" s="33">
        <v>129645.58</v>
      </c>
      <c r="E83" s="45">
        <f>D83-C83</f>
        <v>9814.080000000002</v>
      </c>
    </row>
    <row r="84" spans="2:5" ht="13.5" thickBot="1">
      <c r="B84" s="157" t="s">
        <v>232</v>
      </c>
      <c r="C84" s="225">
        <v>67732.98</v>
      </c>
      <c r="D84" s="245">
        <v>78448.89</v>
      </c>
      <c r="E84" s="46">
        <f>D84-C84</f>
        <v>10715.910000000003</v>
      </c>
    </row>
    <row r="85" spans="2:5" ht="13.5" thickBot="1">
      <c r="B85" s="230"/>
      <c r="C85" s="231">
        <f>SUM(C82:C84)</f>
        <v>386941.58999999997</v>
      </c>
      <c r="D85" s="232">
        <f>SUM(D82:D84)</f>
        <v>423619.92000000004</v>
      </c>
      <c r="E85" s="233">
        <f>D85-C85</f>
        <v>36678.330000000075</v>
      </c>
    </row>
    <row r="86" spans="2:5" ht="13.5" thickBot="1">
      <c r="B86" s="363" t="s">
        <v>970</v>
      </c>
      <c r="C86" s="364"/>
      <c r="D86" s="364"/>
      <c r="E86" s="365"/>
    </row>
    <row r="87" spans="2:5" ht="12.75">
      <c r="B87" s="140" t="s">
        <v>285</v>
      </c>
      <c r="C87" s="234">
        <v>237750.74</v>
      </c>
      <c r="D87" s="218">
        <v>262043.71</v>
      </c>
      <c r="E87" s="44">
        <f>D87-C87</f>
        <v>24292.97</v>
      </c>
    </row>
    <row r="88" spans="2:5" ht="12.75">
      <c r="B88" s="115" t="s">
        <v>637</v>
      </c>
      <c r="C88" s="10">
        <v>133520.94</v>
      </c>
      <c r="D88" s="99">
        <v>145059.91</v>
      </c>
      <c r="E88" s="45">
        <f>D88-C88</f>
        <v>11538.970000000001</v>
      </c>
    </row>
    <row r="89" spans="2:5" ht="13.5" thickBot="1">
      <c r="B89" s="157" t="s">
        <v>232</v>
      </c>
      <c r="C89" s="225">
        <v>94652.99</v>
      </c>
      <c r="D89" s="235">
        <v>89628.64</v>
      </c>
      <c r="E89" s="46">
        <f>D89-C89</f>
        <v>-5024.350000000006</v>
      </c>
    </row>
    <row r="90" spans="2:5" ht="13.5" thickBot="1">
      <c r="B90" s="230"/>
      <c r="C90" s="231">
        <f>SUM(C87:C89)</f>
        <v>465924.67</v>
      </c>
      <c r="D90" s="232">
        <f>SUM(D87:D89)</f>
        <v>496732.26</v>
      </c>
      <c r="E90" s="233">
        <f>D90-C90</f>
        <v>30807.590000000026</v>
      </c>
    </row>
    <row r="91" spans="2:5" ht="13.5" thickBot="1">
      <c r="B91" s="363" t="s">
        <v>1054</v>
      </c>
      <c r="C91" s="364"/>
      <c r="D91" s="364"/>
      <c r="E91" s="365"/>
    </row>
    <row r="92" spans="2:5" ht="12.75">
      <c r="B92" s="140" t="s">
        <v>285</v>
      </c>
      <c r="C92" s="234">
        <v>341505.13</v>
      </c>
      <c r="D92" s="155">
        <v>346134.42</v>
      </c>
      <c r="E92" s="44">
        <f>D92-C92</f>
        <v>4629.289999999979</v>
      </c>
    </row>
    <row r="93" spans="2:5" ht="12.75">
      <c r="B93" s="115" t="s">
        <v>637</v>
      </c>
      <c r="C93" s="10">
        <v>169847.53</v>
      </c>
      <c r="D93" s="34">
        <v>170177.022</v>
      </c>
      <c r="E93" s="45">
        <f>D93-C93</f>
        <v>329.49199999999837</v>
      </c>
    </row>
    <row r="94" spans="2:5" ht="12.75">
      <c r="B94" s="116" t="s">
        <v>232</v>
      </c>
      <c r="C94" s="67">
        <v>90508.57</v>
      </c>
      <c r="D94" s="83">
        <v>107214.81</v>
      </c>
      <c r="E94" s="45">
        <f>D94-C94</f>
        <v>16706.23999999999</v>
      </c>
    </row>
    <row r="95" spans="2:5" ht="26.25" thickBot="1">
      <c r="B95" s="156" t="s">
        <v>119</v>
      </c>
      <c r="C95" s="229">
        <v>5000</v>
      </c>
      <c r="D95" s="229">
        <v>5000</v>
      </c>
      <c r="E95" s="46">
        <f>D95-C95</f>
        <v>0</v>
      </c>
    </row>
    <row r="96" spans="2:5" ht="13.5" thickBot="1">
      <c r="B96" s="153"/>
      <c r="C96" s="304">
        <f>SUM(C92:C95)</f>
        <v>606861.23</v>
      </c>
      <c r="D96" s="306">
        <f>SUM(D92:D95)</f>
        <v>628526.252</v>
      </c>
      <c r="E96" s="305">
        <f>SUM(E92:E95)</f>
        <v>21665.021999999968</v>
      </c>
    </row>
    <row r="97" spans="2:5" ht="13.5" thickBot="1">
      <c r="B97" s="363" t="s">
        <v>168</v>
      </c>
      <c r="C97" s="364"/>
      <c r="D97" s="364"/>
      <c r="E97" s="365"/>
    </row>
    <row r="98" spans="2:5" ht="12.75">
      <c r="B98" s="140" t="s">
        <v>285</v>
      </c>
      <c r="C98" s="234">
        <v>334929.85</v>
      </c>
      <c r="D98" s="155">
        <v>359209.08</v>
      </c>
      <c r="E98" s="253">
        <f>D98-C98</f>
        <v>24279.23000000004</v>
      </c>
    </row>
    <row r="99" spans="2:5" ht="12.75">
      <c r="B99" s="115" t="s">
        <v>637</v>
      </c>
      <c r="C99" s="10">
        <v>162878.41</v>
      </c>
      <c r="D99" s="34">
        <v>174650.16</v>
      </c>
      <c r="E99" s="53">
        <f>D99-C99</f>
        <v>11771.75</v>
      </c>
    </row>
    <row r="100" spans="2:5" ht="12.75">
      <c r="B100" s="116" t="s">
        <v>232</v>
      </c>
      <c r="C100" s="67">
        <v>122104.63</v>
      </c>
      <c r="D100" s="83">
        <v>123776.31</v>
      </c>
      <c r="E100" s="53">
        <f>D100-C100</f>
        <v>1671.679999999993</v>
      </c>
    </row>
    <row r="101" spans="2:5" ht="12.75">
      <c r="B101" s="116" t="s">
        <v>377</v>
      </c>
      <c r="C101" s="90">
        <v>18000</v>
      </c>
      <c r="D101" s="316">
        <v>27000</v>
      </c>
      <c r="E101" s="53">
        <f>D101-C101</f>
        <v>9000</v>
      </c>
    </row>
    <row r="102" spans="2:5" ht="13.5" thickBot="1">
      <c r="B102" s="157" t="s">
        <v>633</v>
      </c>
      <c r="C102" s="247">
        <v>15839.02</v>
      </c>
      <c r="D102" s="226">
        <v>20977.7</v>
      </c>
      <c r="E102" s="315">
        <f>D102-C102</f>
        <v>5138.68</v>
      </c>
    </row>
    <row r="103" spans="2:5" ht="13.5" thickBot="1">
      <c r="B103" s="153"/>
      <c r="C103" s="304">
        <f>SUM(C98:C102)</f>
        <v>653751.91</v>
      </c>
      <c r="D103" s="306">
        <f>SUM(D98:D102)</f>
        <v>705613.25</v>
      </c>
      <c r="E103" s="305">
        <f>SUM(E98:E102)</f>
        <v>51861.34000000003</v>
      </c>
    </row>
    <row r="104" spans="2:5" ht="13.5" thickBot="1">
      <c r="B104" s="363" t="s">
        <v>795</v>
      </c>
      <c r="C104" s="364"/>
      <c r="D104" s="364"/>
      <c r="E104" s="365"/>
    </row>
    <row r="105" spans="2:5" ht="12.75">
      <c r="B105" s="140" t="s">
        <v>285</v>
      </c>
      <c r="C105" s="141">
        <v>514822.45</v>
      </c>
      <c r="D105" s="155">
        <v>476934.7</v>
      </c>
      <c r="E105" s="253">
        <f aca="true" t="shared" si="0" ref="E105:E110">D105-C105</f>
        <v>-37887.75</v>
      </c>
    </row>
    <row r="106" spans="2:5" ht="12.75">
      <c r="B106" s="115" t="s">
        <v>637</v>
      </c>
      <c r="C106" s="5">
        <v>250365.44</v>
      </c>
      <c r="D106" s="33">
        <v>231913.77</v>
      </c>
      <c r="E106" s="53">
        <f t="shared" si="0"/>
        <v>-18451.670000000013</v>
      </c>
    </row>
    <row r="107" spans="2:5" ht="12.75">
      <c r="B107" s="115" t="s">
        <v>633</v>
      </c>
      <c r="C107" s="65">
        <v>49749.22</v>
      </c>
      <c r="D107" s="70">
        <v>48293.7</v>
      </c>
      <c r="E107" s="53">
        <f t="shared" si="0"/>
        <v>-1455.520000000004</v>
      </c>
    </row>
    <row r="108" spans="2:5" ht="12.75">
      <c r="B108" s="278" t="s">
        <v>792</v>
      </c>
      <c r="C108" s="122">
        <v>600</v>
      </c>
      <c r="D108" s="122">
        <v>800</v>
      </c>
      <c r="E108" s="81">
        <f t="shared" si="0"/>
        <v>200</v>
      </c>
    </row>
    <row r="109" spans="2:5" ht="12.75">
      <c r="B109" s="115" t="s">
        <v>805</v>
      </c>
      <c r="C109" s="67">
        <v>135382.47</v>
      </c>
      <c r="D109" s="83">
        <v>128010.94</v>
      </c>
      <c r="E109" s="53">
        <f t="shared" si="0"/>
        <v>-7371.529999999999</v>
      </c>
    </row>
    <row r="110" spans="2:5" ht="13.5" thickBot="1">
      <c r="B110" s="157" t="s">
        <v>1200</v>
      </c>
      <c r="C110" s="229">
        <v>9616.34</v>
      </c>
      <c r="D110" s="229">
        <v>9616.34</v>
      </c>
      <c r="E110" s="262">
        <f t="shared" si="0"/>
        <v>0</v>
      </c>
    </row>
    <row r="111" spans="2:5" ht="13.5" thickBot="1">
      <c r="B111" s="153"/>
      <c r="C111" s="152">
        <f>SUM(C105:C110)</f>
        <v>960535.9199999999</v>
      </c>
      <c r="D111" s="138">
        <f>SUM(D105:D110)</f>
        <v>895569.4499999998</v>
      </c>
      <c r="E111" s="206">
        <f>SUM(E105:E110)</f>
        <v>-64966.470000000016</v>
      </c>
    </row>
    <row r="112" spans="2:5" ht="13.5" thickBot="1">
      <c r="B112" s="363" t="s">
        <v>87</v>
      </c>
      <c r="C112" s="364"/>
      <c r="D112" s="364"/>
      <c r="E112" s="365"/>
    </row>
    <row r="113" spans="2:5" ht="12.75">
      <c r="B113" s="140" t="s">
        <v>285</v>
      </c>
      <c r="C113" s="141">
        <v>404617.5</v>
      </c>
      <c r="D113" s="155">
        <v>435461.56</v>
      </c>
      <c r="E113" s="242">
        <f>D113-C113</f>
        <v>30844.059999999998</v>
      </c>
    </row>
    <row r="114" spans="2:5" ht="12.75">
      <c r="B114" s="115" t="s">
        <v>637</v>
      </c>
      <c r="C114" s="5">
        <v>199567.42</v>
      </c>
      <c r="D114" s="33">
        <v>214809.18</v>
      </c>
      <c r="E114" s="57">
        <f>D114-C114</f>
        <v>15241.75999999998</v>
      </c>
    </row>
    <row r="115" spans="2:5" ht="12.75">
      <c r="B115" s="115" t="s">
        <v>633</v>
      </c>
      <c r="C115" s="65">
        <v>46987.58</v>
      </c>
      <c r="D115" s="70">
        <v>49636.36</v>
      </c>
      <c r="E115" s="57">
        <f>D115-C115</f>
        <v>2648.779999999999</v>
      </c>
    </row>
    <row r="116" spans="2:5" ht="13.5" thickBot="1">
      <c r="B116" s="157" t="s">
        <v>805</v>
      </c>
      <c r="C116" s="225">
        <v>116326.33</v>
      </c>
      <c r="D116" s="226">
        <v>117337.29</v>
      </c>
      <c r="E116" s="222">
        <f>D116-C116</f>
        <v>1010.9599999999919</v>
      </c>
    </row>
    <row r="117" spans="2:5" ht="13.5" thickBot="1">
      <c r="B117" s="153"/>
      <c r="C117" s="152">
        <f>SUM(C113:C116)</f>
        <v>767498.83</v>
      </c>
      <c r="D117" s="138">
        <f>SUM(D113:D116)</f>
        <v>817244.39</v>
      </c>
      <c r="E117" s="206">
        <f>SUM(E113:E116)</f>
        <v>49745.55999999997</v>
      </c>
    </row>
    <row r="118" spans="2:5" ht="13.5" thickBot="1">
      <c r="B118" s="366" t="s">
        <v>379</v>
      </c>
      <c r="C118" s="367"/>
      <c r="D118" s="367"/>
      <c r="E118" s="368"/>
    </row>
    <row r="119" spans="2:5" ht="13.5" thickBot="1">
      <c r="B119" s="153"/>
      <c r="C119" s="126">
        <f>C90+C96+C103+C85+C111+C117</f>
        <v>3841514.15</v>
      </c>
      <c r="D119" s="126">
        <f>D90+D96+D103+D85+D111+D117</f>
        <v>3967305.522</v>
      </c>
      <c r="E119" s="126">
        <f>E90+E96+E103+E85+E111+E117</f>
        <v>125791.37200000005</v>
      </c>
    </row>
  </sheetData>
  <sheetProtection/>
  <mergeCells count="24">
    <mergeCell ref="D78:E78"/>
    <mergeCell ref="B81:E81"/>
    <mergeCell ref="B118:E118"/>
    <mergeCell ref="B86:E86"/>
    <mergeCell ref="B91:E91"/>
    <mergeCell ref="B97:E97"/>
    <mergeCell ref="B104:E104"/>
    <mergeCell ref="B112:E112"/>
    <mergeCell ref="D72:E72"/>
    <mergeCell ref="D73:E73"/>
    <mergeCell ref="D74:E74"/>
    <mergeCell ref="D75:E75"/>
    <mergeCell ref="D76:E76"/>
    <mergeCell ref="D77:E77"/>
    <mergeCell ref="D70:E70"/>
    <mergeCell ref="D71:E71"/>
    <mergeCell ref="A2:B2"/>
    <mergeCell ref="C2:E2"/>
    <mergeCell ref="C3:E3"/>
    <mergeCell ref="B4:E4"/>
    <mergeCell ref="A6:E6"/>
    <mergeCell ref="A17:D17"/>
    <mergeCell ref="A18:D18"/>
    <mergeCell ref="D22:E22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375" style="0" customWidth="1"/>
    <col min="2" max="2" width="57.25390625" style="0" customWidth="1"/>
    <col min="3" max="3" width="11.375" style="0" customWidth="1"/>
    <col min="4" max="4" width="13.25390625" style="0" customWidth="1"/>
    <col min="5" max="5" width="12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534</v>
      </c>
      <c r="C7" s="26"/>
      <c r="D7" s="24"/>
    </row>
    <row r="8" spans="1:4" ht="15">
      <c r="A8" s="26"/>
      <c r="B8" s="27" t="s">
        <v>115</v>
      </c>
      <c r="C8" s="38">
        <v>2590.9</v>
      </c>
      <c r="D8" s="92" t="s">
        <v>116</v>
      </c>
    </row>
    <row r="9" spans="1:4" ht="15">
      <c r="A9" s="26"/>
      <c r="B9" s="27" t="s">
        <v>654</v>
      </c>
      <c r="C9" s="93">
        <v>333.1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382595.13</v>
      </c>
      <c r="D12" s="155">
        <v>384895.42</v>
      </c>
      <c r="E12" s="242">
        <f aca="true" t="shared" si="0" ref="E12:E17">D12-C12</f>
        <v>2300.289999999979</v>
      </c>
    </row>
    <row r="13" spans="1:5" ht="12.75">
      <c r="A13" s="84">
        <v>2</v>
      </c>
      <c r="B13" s="5" t="s">
        <v>637</v>
      </c>
      <c r="C13" s="10">
        <v>129363.87</v>
      </c>
      <c r="D13" s="34">
        <v>132435.46</v>
      </c>
      <c r="E13" s="57">
        <f t="shared" si="0"/>
        <v>3071.5899999999965</v>
      </c>
    </row>
    <row r="14" spans="1:5" ht="12.75">
      <c r="A14" s="84">
        <v>3</v>
      </c>
      <c r="B14" s="65" t="s">
        <v>364</v>
      </c>
      <c r="C14" s="94">
        <v>39836.19</v>
      </c>
      <c r="D14" s="83">
        <v>37661.05</v>
      </c>
      <c r="E14" s="57">
        <f t="shared" si="0"/>
        <v>-2175.1399999999994</v>
      </c>
    </row>
    <row r="15" spans="1:5" ht="12.75">
      <c r="A15" s="87">
        <v>4</v>
      </c>
      <c r="B15" s="351" t="s">
        <v>415</v>
      </c>
      <c r="C15" s="258">
        <v>7617.57</v>
      </c>
      <c r="D15" s="258">
        <v>2626.12</v>
      </c>
      <c r="E15" s="66">
        <f t="shared" si="0"/>
        <v>-4991.45</v>
      </c>
    </row>
    <row r="16" spans="1:5" ht="12.75">
      <c r="A16" s="84">
        <v>5</v>
      </c>
      <c r="B16" s="65" t="s">
        <v>29</v>
      </c>
      <c r="C16" s="94">
        <f>2400</f>
        <v>2400</v>
      </c>
      <c r="D16" s="83">
        <f>2400</f>
        <v>2400</v>
      </c>
      <c r="E16" s="57">
        <f t="shared" si="0"/>
        <v>0</v>
      </c>
    </row>
    <row r="17" spans="1:5" ht="13.5" thickBot="1">
      <c r="A17" s="87">
        <v>6</v>
      </c>
      <c r="B17" s="5" t="s">
        <v>805</v>
      </c>
      <c r="C17" s="67">
        <v>71456.63</v>
      </c>
      <c r="D17" s="83">
        <v>47497.17</v>
      </c>
      <c r="E17" s="57">
        <f t="shared" si="0"/>
        <v>-23959.460000000006</v>
      </c>
    </row>
    <row r="18" spans="1:5" ht="13.5" thickBot="1">
      <c r="A18" s="208"/>
      <c r="B18" s="209"/>
      <c r="C18" s="135">
        <f>SUM(C12:C17)</f>
        <v>633269.3899999999</v>
      </c>
      <c r="D18" s="135">
        <f>SUM(D12:D17)</f>
        <v>607515.2200000001</v>
      </c>
      <c r="E18" s="136">
        <f>SUM(E12:E17)</f>
        <v>-25754.17000000003</v>
      </c>
    </row>
    <row r="19" spans="1:5" ht="12.75">
      <c r="A19" s="385" t="s">
        <v>793</v>
      </c>
      <c r="B19" s="386"/>
      <c r="C19" s="386"/>
      <c r="D19" s="386"/>
      <c r="E19" s="108">
        <f>E102</f>
        <v>124034.37000000001</v>
      </c>
    </row>
    <row r="20" spans="1:5" ht="12.75">
      <c r="A20" s="387" t="s">
        <v>794</v>
      </c>
      <c r="B20" s="384"/>
      <c r="C20" s="384"/>
      <c r="D20" s="384"/>
      <c r="E20" s="259">
        <v>129545.06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12.75">
      <c r="A23" s="86">
        <v>1</v>
      </c>
      <c r="B23" s="64" t="s">
        <v>368</v>
      </c>
      <c r="C23" s="80">
        <f>C63</f>
        <v>152065.86</v>
      </c>
      <c r="E23" s="29"/>
    </row>
    <row r="24" spans="1:5" ht="12.75">
      <c r="A24" s="91">
        <v>2</v>
      </c>
      <c r="B24" s="25" t="s">
        <v>344</v>
      </c>
      <c r="C24" s="102">
        <f>C68</f>
        <v>11761.84</v>
      </c>
      <c r="D24" s="388"/>
      <c r="E24" s="389"/>
    </row>
    <row r="25" spans="1:5" ht="12.75">
      <c r="A25" s="84">
        <v>3</v>
      </c>
      <c r="B25" s="9" t="s">
        <v>649</v>
      </c>
      <c r="C25" s="48">
        <v>335.93</v>
      </c>
      <c r="E25" s="29"/>
    </row>
    <row r="26" spans="1:5" ht="12.75">
      <c r="A26" s="84">
        <v>4</v>
      </c>
      <c r="B26" s="9" t="s">
        <v>122</v>
      </c>
      <c r="C26" s="48">
        <f>(C8*0.55*12)</f>
        <v>17099.940000000002</v>
      </c>
      <c r="E26" s="29"/>
    </row>
    <row r="27" spans="1:5" ht="12.75">
      <c r="A27" s="84">
        <v>5</v>
      </c>
      <c r="B27" s="9" t="s">
        <v>658</v>
      </c>
      <c r="C27" s="79">
        <v>5665.92</v>
      </c>
      <c r="E27" s="29"/>
    </row>
    <row r="28" spans="1:5" ht="25.5">
      <c r="A28" s="91">
        <v>6</v>
      </c>
      <c r="B28" s="25" t="s">
        <v>529</v>
      </c>
      <c r="C28" s="96">
        <v>19200</v>
      </c>
      <c r="E28" s="29"/>
    </row>
    <row r="29" spans="1:5" ht="25.5">
      <c r="A29" s="91">
        <v>7</v>
      </c>
      <c r="B29" s="25" t="s">
        <v>335</v>
      </c>
      <c r="C29" s="96">
        <v>3000</v>
      </c>
      <c r="E29" s="29"/>
    </row>
    <row r="30" spans="1:5" ht="12.75">
      <c r="A30" s="91">
        <v>8</v>
      </c>
      <c r="B30" s="346" t="s">
        <v>798</v>
      </c>
      <c r="C30" s="79">
        <v>16522.44</v>
      </c>
      <c r="E30" s="29"/>
    </row>
    <row r="31" spans="1:5" ht="12.75">
      <c r="A31" s="91">
        <v>9</v>
      </c>
      <c r="B31" s="25" t="s">
        <v>272</v>
      </c>
      <c r="C31" s="79">
        <v>77900</v>
      </c>
      <c r="E31" s="29"/>
    </row>
    <row r="32" spans="1:5" ht="25.5">
      <c r="A32" s="91">
        <v>10</v>
      </c>
      <c r="B32" s="25" t="s">
        <v>45</v>
      </c>
      <c r="C32" s="79">
        <v>4500</v>
      </c>
      <c r="E32" s="29"/>
    </row>
    <row r="33" spans="1:5" ht="12.75">
      <c r="A33" s="91">
        <v>11</v>
      </c>
      <c r="B33" s="78" t="s">
        <v>545</v>
      </c>
      <c r="C33" s="48">
        <v>150</v>
      </c>
      <c r="E33" s="29"/>
    </row>
    <row r="34" spans="1:5" ht="12.75">
      <c r="A34" s="91">
        <v>12</v>
      </c>
      <c r="B34" s="78" t="s">
        <v>433</v>
      </c>
      <c r="C34" s="48">
        <v>73596</v>
      </c>
      <c r="E34" s="29"/>
    </row>
    <row r="35" spans="1:5" ht="12.75">
      <c r="A35" s="91">
        <v>13</v>
      </c>
      <c r="B35" s="25" t="s">
        <v>356</v>
      </c>
      <c r="C35" s="349">
        <v>600</v>
      </c>
      <c r="E35" s="29"/>
    </row>
    <row r="36" spans="1:3" ht="12.75">
      <c r="A36" s="50"/>
      <c r="B36" s="20" t="s">
        <v>629</v>
      </c>
      <c r="C36" s="51">
        <f>SUM(C23:C35)</f>
        <v>382397.93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(C18)*15%</f>
        <v>94990.40849999998</v>
      </c>
    </row>
    <row r="39" spans="1:3" ht="12.75">
      <c r="A39" s="84">
        <v>2</v>
      </c>
      <c r="B39" s="9" t="s">
        <v>813</v>
      </c>
      <c r="C39" s="48">
        <f>C74</f>
        <v>5611.515803653081</v>
      </c>
    </row>
    <row r="40" spans="1:3" ht="12.75">
      <c r="A40" s="84">
        <v>3</v>
      </c>
      <c r="B40" s="9" t="s">
        <v>653</v>
      </c>
      <c r="C40" s="48">
        <f>C75</f>
        <v>6094.937642637846</v>
      </c>
    </row>
    <row r="41" spans="1:3" ht="12.75">
      <c r="A41" s="84">
        <v>4</v>
      </c>
      <c r="B41" s="9" t="s">
        <v>1114</v>
      </c>
      <c r="C41" s="52">
        <f>C76</f>
        <v>12372.967104597441</v>
      </c>
    </row>
    <row r="42" spans="1:3" ht="12.75">
      <c r="A42" s="84">
        <v>5</v>
      </c>
      <c r="B42" s="9" t="s">
        <v>162</v>
      </c>
      <c r="C42" s="52">
        <f>C77</f>
        <v>10203.091853494065</v>
      </c>
    </row>
    <row r="43" spans="1:3" ht="12.75">
      <c r="A43" s="84">
        <v>6</v>
      </c>
      <c r="B43" s="9" t="s">
        <v>1051</v>
      </c>
      <c r="C43" s="48">
        <f>C78+C80+C81+C82+C79</f>
        <v>17314.60374099411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146587.5246453765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C18*2%</f>
        <v>12665.387799999999</v>
      </c>
    </row>
    <row r="51" spans="1:3" ht="12.75">
      <c r="A51" s="84">
        <v>2</v>
      </c>
      <c r="B51" s="9" t="s">
        <v>391</v>
      </c>
      <c r="C51" s="48">
        <f>C52</f>
        <v>37236.24013199999</v>
      </c>
    </row>
    <row r="52" spans="1:4" ht="12.75">
      <c r="A52" s="49"/>
      <c r="B52" s="5" t="s">
        <v>334</v>
      </c>
      <c r="C52" s="41">
        <f>(C18-C50)*6%</f>
        <v>37236.24013199999</v>
      </c>
      <c r="D52" s="19"/>
    </row>
    <row r="53" spans="1:3" ht="13.5" thickBot="1">
      <c r="A53" s="54"/>
      <c r="B53" s="55" t="s">
        <v>967</v>
      </c>
      <c r="C53" s="56">
        <f>C50+C51</f>
        <v>49901.62793199999</v>
      </c>
    </row>
    <row r="54" spans="1:3" ht="12.75">
      <c r="A54" s="23"/>
      <c r="B54" s="4" t="s">
        <v>288</v>
      </c>
      <c r="C54" s="11">
        <f>C36+C48+C53</f>
        <v>578887.0825773765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">
        <v>6477.57</v>
      </c>
    </row>
    <row r="57" spans="1:3" ht="15">
      <c r="A57" s="23"/>
      <c r="B57" s="14" t="s">
        <v>94</v>
      </c>
      <c r="C57" s="11">
        <f>C18-C54-C56</f>
        <v>47904.73742262339</v>
      </c>
    </row>
    <row r="58" ht="12.75">
      <c r="B58" s="1" t="s">
        <v>85</v>
      </c>
    </row>
    <row r="59" ht="19.5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535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2924</v>
      </c>
      <c r="E62" t="s">
        <v>116</v>
      </c>
    </row>
    <row r="63" spans="1:5" ht="12.75">
      <c r="A63" s="60" t="s">
        <v>218</v>
      </c>
      <c r="B63" s="39" t="s">
        <v>165</v>
      </c>
      <c r="C63" s="47">
        <v>152065.86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10601</v>
      </c>
      <c r="D65" s="15"/>
      <c r="E65" s="15"/>
    </row>
    <row r="66" spans="1:5" ht="12.75">
      <c r="A66" s="62" t="s">
        <v>166</v>
      </c>
      <c r="B66" s="6" t="s">
        <v>277</v>
      </c>
      <c r="C66" s="41">
        <v>3600</v>
      </c>
      <c r="D66" s="15"/>
      <c r="E66" s="15"/>
    </row>
    <row r="67" spans="1:5" ht="13.5" thickBot="1">
      <c r="A67" s="63" t="s">
        <v>166</v>
      </c>
      <c r="B67" s="42" t="s">
        <v>531</v>
      </c>
      <c r="C67" s="46">
        <v>2734.75</v>
      </c>
      <c r="D67" s="15"/>
      <c r="E67" s="15"/>
    </row>
    <row r="68" spans="1:5" ht="12.75">
      <c r="A68" s="60" t="s">
        <v>328</v>
      </c>
      <c r="B68" s="39" t="s">
        <v>343</v>
      </c>
      <c r="C68" s="47">
        <v>11761.84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1276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148.15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146587.52464537648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C38</f>
        <v>94990.40849999998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5611.515803653081</v>
      </c>
      <c r="D74" s="375" t="s">
        <v>536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6094.937642637846</v>
      </c>
      <c r="D75" s="377" t="s">
        <v>537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12372.967104597441</v>
      </c>
      <c r="D76" s="379" t="s">
        <v>538</v>
      </c>
      <c r="E76" s="380"/>
    </row>
    <row r="77" spans="1:5" ht="25.5">
      <c r="A77" s="73" t="s">
        <v>166</v>
      </c>
      <c r="B77" s="72" t="s">
        <v>231</v>
      </c>
      <c r="C77" s="318">
        <f>845684.35/242356.05*D62</f>
        <v>10203.091853494065</v>
      </c>
      <c r="D77" s="381" t="s">
        <v>539</v>
      </c>
      <c r="E77" s="382"/>
    </row>
    <row r="78" spans="1:5" ht="12.75">
      <c r="A78" s="73" t="s">
        <v>166</v>
      </c>
      <c r="B78" s="74" t="s">
        <v>808</v>
      </c>
      <c r="C78" s="318">
        <f>642562.44/242356.05*D62</f>
        <v>7752.447585112894</v>
      </c>
      <c r="D78" s="371" t="s">
        <v>540</v>
      </c>
      <c r="E78" s="372"/>
    </row>
    <row r="79" spans="1:5" ht="12.75">
      <c r="A79" s="73" t="s">
        <v>166</v>
      </c>
      <c r="B79" s="74" t="s">
        <v>826</v>
      </c>
      <c r="C79" s="318">
        <f>51615/196822.43*D62</f>
        <v>766.7940081829089</v>
      </c>
      <c r="D79" s="371" t="s">
        <v>541</v>
      </c>
      <c r="E79" s="372"/>
    </row>
    <row r="80" spans="1:5" ht="12.75">
      <c r="A80" s="73" t="s">
        <v>166</v>
      </c>
      <c r="B80" s="74" t="s">
        <v>655</v>
      </c>
      <c r="C80" s="318">
        <f>129011.28/196822.43*D62</f>
        <v>1916.5954953406479</v>
      </c>
      <c r="D80" s="371" t="s">
        <v>542</v>
      </c>
      <c r="E80" s="372"/>
    </row>
    <row r="81" spans="1:5" ht="12.75">
      <c r="A81" s="73" t="s">
        <v>166</v>
      </c>
      <c r="B81" s="74" t="s">
        <v>656</v>
      </c>
      <c r="C81" s="318">
        <f>164128/196822.43*D62</f>
        <v>2438.290554587706</v>
      </c>
      <c r="D81" s="373" t="s">
        <v>543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298900.58/196822.43*D62</f>
        <v>4440.476097769954</v>
      </c>
      <c r="D82" s="369" t="s">
        <v>544</v>
      </c>
      <c r="E82" s="370"/>
    </row>
    <row r="83" ht="13.5" thickBot="1"/>
    <row r="84" spans="2:5" ht="24.75" thickBot="1">
      <c r="B84" s="143"/>
      <c r="C84" s="159" t="s">
        <v>104</v>
      </c>
      <c r="D84" s="161" t="s">
        <v>306</v>
      </c>
      <c r="E84" s="160" t="s">
        <v>1115</v>
      </c>
    </row>
    <row r="85" spans="2:5" ht="13.5" thickBot="1">
      <c r="B85" s="363" t="s">
        <v>546</v>
      </c>
      <c r="C85" s="364"/>
      <c r="D85" s="364"/>
      <c r="E85" s="365"/>
    </row>
    <row r="86" spans="2:5" ht="12.75">
      <c r="B86" s="140" t="s">
        <v>285</v>
      </c>
      <c r="C86" s="141">
        <v>320556.56</v>
      </c>
      <c r="D86" s="155">
        <v>401172.52</v>
      </c>
      <c r="E86" s="213">
        <f aca="true" t="shared" si="1" ref="E86:E91">D86-C86</f>
        <v>80615.96000000002</v>
      </c>
    </row>
    <row r="87" spans="2:5" ht="12.75">
      <c r="B87" s="115" t="s">
        <v>637</v>
      </c>
      <c r="C87" s="5">
        <v>115400.15</v>
      </c>
      <c r="D87" s="33">
        <v>144456.99</v>
      </c>
      <c r="E87" s="214">
        <f t="shared" si="1"/>
        <v>29056.839999999997</v>
      </c>
    </row>
    <row r="88" spans="2:5" ht="12.75">
      <c r="B88" s="278" t="s">
        <v>792</v>
      </c>
      <c r="C88" s="122">
        <v>600</v>
      </c>
      <c r="D88" s="122">
        <v>800</v>
      </c>
      <c r="E88" s="214">
        <f t="shared" si="1"/>
        <v>200</v>
      </c>
    </row>
    <row r="89" spans="2:5" ht="12.75">
      <c r="B89" s="278" t="s">
        <v>364</v>
      </c>
      <c r="C89" s="122">
        <v>35064.32</v>
      </c>
      <c r="D89" s="122">
        <v>43886.3</v>
      </c>
      <c r="E89" s="214">
        <f t="shared" si="1"/>
        <v>8821.980000000003</v>
      </c>
    </row>
    <row r="90" spans="2:5" ht="12.75">
      <c r="B90" s="115" t="s">
        <v>805</v>
      </c>
      <c r="C90" s="67">
        <v>100057.36</v>
      </c>
      <c r="D90" s="83">
        <v>124016.82</v>
      </c>
      <c r="E90" s="214">
        <f t="shared" si="1"/>
        <v>23959.460000000006</v>
      </c>
    </row>
    <row r="91" spans="2:5" ht="13.5" thickBot="1">
      <c r="B91" s="157" t="s">
        <v>113</v>
      </c>
      <c r="C91" s="247">
        <v>32815.7</v>
      </c>
      <c r="D91" s="226">
        <v>39950</v>
      </c>
      <c r="E91" s="216">
        <f t="shared" si="1"/>
        <v>7134.300000000003</v>
      </c>
    </row>
    <row r="92" spans="2:5" ht="13.5" thickBot="1">
      <c r="B92" s="187"/>
      <c r="C92" s="217">
        <f>SUM(C86:C91)</f>
        <v>604494.09</v>
      </c>
      <c r="D92" s="217">
        <f>SUM(D86:D91)</f>
        <v>754282.6300000001</v>
      </c>
      <c r="E92" s="217">
        <f>SUM(E86:E91)</f>
        <v>149788.54000000004</v>
      </c>
    </row>
    <row r="93" spans="2:5" ht="13.5" thickBot="1">
      <c r="B93" s="363" t="s">
        <v>87</v>
      </c>
      <c r="C93" s="364"/>
      <c r="D93" s="364"/>
      <c r="E93" s="365"/>
    </row>
    <row r="94" spans="2:5" ht="12.75">
      <c r="B94" s="140" t="s">
        <v>285</v>
      </c>
      <c r="C94" s="234">
        <v>382595.13</v>
      </c>
      <c r="D94" s="155">
        <v>384895.42</v>
      </c>
      <c r="E94" s="242">
        <f aca="true" t="shared" si="2" ref="E94:E99">D94-C94</f>
        <v>2300.289999999979</v>
      </c>
    </row>
    <row r="95" spans="2:5" ht="12.75">
      <c r="B95" s="115" t="s">
        <v>637</v>
      </c>
      <c r="C95" s="10">
        <v>129363.87</v>
      </c>
      <c r="D95" s="34">
        <v>132435.46</v>
      </c>
      <c r="E95" s="57">
        <f t="shared" si="2"/>
        <v>3071.5899999999965</v>
      </c>
    </row>
    <row r="96" spans="2:5" ht="12.75">
      <c r="B96" s="116" t="s">
        <v>364</v>
      </c>
      <c r="C96" s="94">
        <v>39836.19</v>
      </c>
      <c r="D96" s="83">
        <v>37661.05</v>
      </c>
      <c r="E96" s="57">
        <f t="shared" si="2"/>
        <v>-2175.1399999999994</v>
      </c>
    </row>
    <row r="97" spans="2:5" ht="12.75">
      <c r="B97" s="352" t="s">
        <v>415</v>
      </c>
      <c r="C97" s="258">
        <v>7617.57</v>
      </c>
      <c r="D97" s="258">
        <v>2626.12</v>
      </c>
      <c r="E97" s="57">
        <f t="shared" si="2"/>
        <v>-4991.45</v>
      </c>
    </row>
    <row r="98" spans="2:5" ht="12.75">
      <c r="B98" s="116" t="s">
        <v>29</v>
      </c>
      <c r="C98" s="94">
        <f>2400</f>
        <v>2400</v>
      </c>
      <c r="D98" s="83">
        <f>2400</f>
        <v>2400</v>
      </c>
      <c r="E98" s="57">
        <f t="shared" si="2"/>
        <v>0</v>
      </c>
    </row>
    <row r="99" spans="2:5" ht="13.5" thickBot="1">
      <c r="B99" s="157" t="s">
        <v>805</v>
      </c>
      <c r="C99" s="225">
        <v>71456.63</v>
      </c>
      <c r="D99" s="226">
        <v>47497.17</v>
      </c>
      <c r="E99" s="222">
        <f t="shared" si="2"/>
        <v>-23959.460000000006</v>
      </c>
    </row>
    <row r="100" spans="2:5" ht="13.5" thickBot="1">
      <c r="B100" s="177"/>
      <c r="C100" s="217">
        <f>SUM(C94:C99)</f>
        <v>633269.3899999999</v>
      </c>
      <c r="D100" s="217">
        <f>SUM(D94:D99)</f>
        <v>607515.2200000001</v>
      </c>
      <c r="E100" s="217">
        <f>SUM(E94:E99)</f>
        <v>-25754.17000000003</v>
      </c>
    </row>
    <row r="101" spans="2:5" ht="13.5" thickBot="1">
      <c r="B101" s="366" t="s">
        <v>379</v>
      </c>
      <c r="C101" s="367"/>
      <c r="D101" s="367"/>
      <c r="E101" s="368"/>
    </row>
    <row r="102" spans="2:5" ht="13.5" thickBot="1">
      <c r="B102" s="153"/>
      <c r="C102" s="176">
        <f>C92+C100</f>
        <v>1237763.48</v>
      </c>
      <c r="D102" s="176">
        <f>D92+D100</f>
        <v>1361797.85</v>
      </c>
      <c r="E102" s="176">
        <f>E92+E100</f>
        <v>124034.37000000001</v>
      </c>
    </row>
  </sheetData>
  <sheetProtection/>
  <mergeCells count="20">
    <mergeCell ref="B93:E93"/>
    <mergeCell ref="B101:E101"/>
    <mergeCell ref="D78:E78"/>
    <mergeCell ref="D79:E79"/>
    <mergeCell ref="D80:E80"/>
    <mergeCell ref="D81:E81"/>
    <mergeCell ref="D82:E82"/>
    <mergeCell ref="B85:E85"/>
    <mergeCell ref="A20:D20"/>
    <mergeCell ref="D24:E24"/>
    <mergeCell ref="D74:E74"/>
    <mergeCell ref="D75:E75"/>
    <mergeCell ref="D76:E76"/>
    <mergeCell ref="D77:E77"/>
    <mergeCell ref="A2:B2"/>
    <mergeCell ref="C2:E2"/>
    <mergeCell ref="C3:E3"/>
    <mergeCell ref="B4:E4"/>
    <mergeCell ref="A6:E6"/>
    <mergeCell ref="A19:D19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56.75390625" style="0" customWidth="1"/>
    <col min="3" max="3" width="10.875" style="0" customWidth="1"/>
    <col min="4" max="4" width="12.253906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5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1009</v>
      </c>
      <c r="C7" s="26"/>
      <c r="D7" s="24"/>
    </row>
    <row r="8" spans="1:4" ht="15">
      <c r="A8" s="26"/>
      <c r="B8" s="27" t="s">
        <v>115</v>
      </c>
      <c r="C8" s="38">
        <v>2020.1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227040.77</v>
      </c>
      <c r="D11" s="218">
        <f>251485.51+0.01</f>
        <v>251485.52000000002</v>
      </c>
      <c r="E11" s="242">
        <f aca="true" t="shared" si="0" ref="E11:E17">D11-C11</f>
        <v>24444.75000000003</v>
      </c>
    </row>
    <row r="12" spans="1:5" ht="12.75">
      <c r="A12" s="84">
        <v>2</v>
      </c>
      <c r="B12" s="5" t="s">
        <v>637</v>
      </c>
      <c r="C12" s="10">
        <v>110847.07</v>
      </c>
      <c r="D12" s="98">
        <v>122782.38</v>
      </c>
      <c r="E12" s="57">
        <f t="shared" si="0"/>
        <v>11935.309999999998</v>
      </c>
    </row>
    <row r="13" spans="1:5" ht="12.75">
      <c r="A13" s="84">
        <v>3</v>
      </c>
      <c r="B13" s="5" t="s">
        <v>364</v>
      </c>
      <c r="C13" s="10">
        <v>31538.09</v>
      </c>
      <c r="D13" s="98">
        <v>26629.12</v>
      </c>
      <c r="E13" s="57">
        <f t="shared" si="0"/>
        <v>-4908.970000000001</v>
      </c>
    </row>
    <row r="14" spans="1:5" ht="12.75">
      <c r="A14" s="84">
        <v>4</v>
      </c>
      <c r="B14" s="5" t="s">
        <v>633</v>
      </c>
      <c r="C14" s="10">
        <v>23569.4</v>
      </c>
      <c r="D14" s="98">
        <v>29421.36</v>
      </c>
      <c r="E14" s="57">
        <f t="shared" si="0"/>
        <v>5851.959999999999</v>
      </c>
    </row>
    <row r="15" spans="1:5" ht="12.75">
      <c r="A15" s="84">
        <v>5</v>
      </c>
      <c r="B15" s="5" t="s">
        <v>415</v>
      </c>
      <c r="C15" s="10">
        <v>856.62</v>
      </c>
      <c r="D15" s="98">
        <v>1401.97</v>
      </c>
      <c r="E15" s="57">
        <f t="shared" si="0"/>
        <v>545.35</v>
      </c>
    </row>
    <row r="16" spans="1:5" ht="12.75">
      <c r="A16" s="84">
        <v>6</v>
      </c>
      <c r="B16" s="5" t="s">
        <v>1019</v>
      </c>
      <c r="C16" s="10">
        <v>7836.77</v>
      </c>
      <c r="D16" s="98">
        <v>7836.77</v>
      </c>
      <c r="E16" s="57">
        <f t="shared" si="0"/>
        <v>0</v>
      </c>
    </row>
    <row r="17" spans="1:5" ht="12.75">
      <c r="A17" s="84">
        <v>7</v>
      </c>
      <c r="B17" s="5" t="s">
        <v>29</v>
      </c>
      <c r="C17" s="10">
        <f>2400</f>
        <v>2400</v>
      </c>
      <c r="D17" s="98">
        <f>2400</f>
        <v>2400</v>
      </c>
      <c r="E17" s="57">
        <f t="shared" si="0"/>
        <v>0</v>
      </c>
    </row>
    <row r="18" spans="1:5" ht="13.5" thickBot="1">
      <c r="A18" s="250"/>
      <c r="B18" s="251"/>
      <c r="C18" s="118">
        <f>SUM(C11:C17)</f>
        <v>404088.72000000003</v>
      </c>
      <c r="D18" s="118">
        <f>SUM(D11:D17)</f>
        <v>441957.12</v>
      </c>
      <c r="E18" s="137">
        <f>SUM(E11:E17)</f>
        <v>37868.40000000002</v>
      </c>
    </row>
    <row r="19" spans="1:5" ht="12.75">
      <c r="A19" s="385" t="s">
        <v>793</v>
      </c>
      <c r="B19" s="386"/>
      <c r="C19" s="386"/>
      <c r="D19" s="386"/>
      <c r="E19" s="108">
        <f>E117</f>
        <v>90067.06000000013</v>
      </c>
    </row>
    <row r="20" spans="1:5" ht="12.75">
      <c r="A20" s="387" t="s">
        <v>794</v>
      </c>
      <c r="B20" s="384"/>
      <c r="C20" s="384"/>
      <c r="D20" s="384"/>
      <c r="E20" s="22">
        <v>139776.37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25.5">
      <c r="A23" s="86">
        <v>1</v>
      </c>
      <c r="B23" s="64" t="s">
        <v>296</v>
      </c>
      <c r="C23" s="80">
        <f>C60</f>
        <v>215536.78</v>
      </c>
      <c r="E23" s="29"/>
    </row>
    <row r="24" spans="1:5" ht="25.5">
      <c r="A24" s="91">
        <v>2</v>
      </c>
      <c r="B24" s="25" t="s">
        <v>1022</v>
      </c>
      <c r="C24" s="102">
        <f>C65</f>
        <v>17284.46</v>
      </c>
      <c r="D24" s="388"/>
      <c r="E24" s="389"/>
    </row>
    <row r="25" spans="1:5" ht="12.75">
      <c r="A25" s="84">
        <v>3</v>
      </c>
      <c r="B25" s="9" t="s">
        <v>649</v>
      </c>
      <c r="C25" s="48">
        <v>6166.59</v>
      </c>
      <c r="E25" s="29"/>
    </row>
    <row r="26" spans="1:5" ht="12.75">
      <c r="A26" s="84">
        <v>4</v>
      </c>
      <c r="B26" s="9" t="s">
        <v>122</v>
      </c>
      <c r="C26" s="48">
        <f>(C8*0.55*12)</f>
        <v>13332.66</v>
      </c>
      <c r="E26" s="29"/>
    </row>
    <row r="27" spans="1:5" ht="12.75">
      <c r="A27" s="84">
        <v>5</v>
      </c>
      <c r="B27" s="9" t="s">
        <v>658</v>
      </c>
      <c r="C27" s="79">
        <v>30454.32</v>
      </c>
      <c r="E27" s="29"/>
    </row>
    <row r="28" spans="1:5" ht="12.75">
      <c r="A28" s="91">
        <v>6</v>
      </c>
      <c r="B28" s="25" t="s">
        <v>61</v>
      </c>
      <c r="C28" s="203">
        <v>2400</v>
      </c>
      <c r="E28" s="29"/>
    </row>
    <row r="29" spans="1:5" ht="12.75">
      <c r="A29" s="91">
        <v>7</v>
      </c>
      <c r="B29" s="25" t="s">
        <v>10</v>
      </c>
      <c r="C29" s="96">
        <v>-80346.08</v>
      </c>
      <c r="E29" s="29"/>
    </row>
    <row r="30" spans="1:5" ht="12.75">
      <c r="A30" s="91">
        <v>8</v>
      </c>
      <c r="B30" s="346" t="s">
        <v>26</v>
      </c>
      <c r="C30" s="96">
        <v>600</v>
      </c>
      <c r="E30" s="29"/>
    </row>
    <row r="31" spans="1:5" ht="25.5">
      <c r="A31" s="91">
        <v>9</v>
      </c>
      <c r="B31" s="25" t="s">
        <v>60</v>
      </c>
      <c r="C31" s="96">
        <v>-1950</v>
      </c>
      <c r="E31" s="29"/>
    </row>
    <row r="32" spans="1:5" ht="38.25">
      <c r="A32" s="91">
        <v>10</v>
      </c>
      <c r="B32" s="25" t="s">
        <v>1020</v>
      </c>
      <c r="C32" s="349">
        <v>1856.44</v>
      </c>
      <c r="E32" s="29"/>
    </row>
    <row r="33" spans="1:3" ht="12.75">
      <c r="A33" s="50"/>
      <c r="B33" s="20" t="s">
        <v>629</v>
      </c>
      <c r="C33" s="51">
        <f>SUM(C23:C32)</f>
        <v>205335.16999999998</v>
      </c>
    </row>
    <row r="34" spans="1:3" ht="12.75">
      <c r="A34" s="49"/>
      <c r="B34" s="8" t="s">
        <v>965</v>
      </c>
      <c r="C34" s="45"/>
    </row>
    <row r="35" spans="1:3" ht="12.75">
      <c r="A35" s="84">
        <v>1</v>
      </c>
      <c r="B35" s="9" t="s">
        <v>228</v>
      </c>
      <c r="C35" s="48">
        <f>(C18)*15%</f>
        <v>60613.308000000005</v>
      </c>
    </row>
    <row r="36" spans="1:3" ht="12.75">
      <c r="A36" s="84">
        <v>2</v>
      </c>
      <c r="B36" s="9" t="s">
        <v>813</v>
      </c>
      <c r="C36" s="48">
        <f>C72</f>
        <v>4375.245310494264</v>
      </c>
    </row>
    <row r="37" spans="1:3" ht="12.75">
      <c r="A37" s="84">
        <v>3</v>
      </c>
      <c r="B37" s="9" t="s">
        <v>653</v>
      </c>
      <c r="C37" s="48">
        <f>C73</f>
        <v>4752.1647041154465</v>
      </c>
    </row>
    <row r="38" spans="1:3" ht="12.75">
      <c r="A38" s="84">
        <v>4</v>
      </c>
      <c r="B38" s="9" t="s">
        <v>1114</v>
      </c>
      <c r="C38" s="52">
        <f>C74</f>
        <v>9647.084352154576</v>
      </c>
    </row>
    <row r="39" spans="1:3" ht="12.75">
      <c r="A39" s="84">
        <v>5</v>
      </c>
      <c r="B39" s="9" t="s">
        <v>162</v>
      </c>
      <c r="C39" s="52">
        <f>C75</f>
        <v>7048.99652983699</v>
      </c>
    </row>
    <row r="40" spans="1:3" ht="12.75">
      <c r="A40" s="84">
        <v>6</v>
      </c>
      <c r="B40" s="9" t="s">
        <v>1051</v>
      </c>
      <c r="C40" s="48">
        <f>C76+C78+C79+C80+C77</f>
        <v>11962.117310937825</v>
      </c>
    </row>
    <row r="41" spans="1:3" ht="12.75">
      <c r="A41" s="49"/>
      <c r="B41" s="74" t="s">
        <v>809</v>
      </c>
      <c r="C41" s="53"/>
    </row>
    <row r="42" spans="1:3" ht="12.75">
      <c r="A42" s="49"/>
      <c r="B42" s="5" t="s">
        <v>655</v>
      </c>
      <c r="C42" s="53"/>
    </row>
    <row r="43" spans="1:3" ht="12.75">
      <c r="A43" s="49"/>
      <c r="B43" s="74" t="s">
        <v>656</v>
      </c>
      <c r="C43" s="53"/>
    </row>
    <row r="44" spans="1:3" ht="12.75">
      <c r="A44" s="49"/>
      <c r="B44" s="74" t="s">
        <v>808</v>
      </c>
      <c r="C44" s="53"/>
    </row>
    <row r="45" spans="1:3" ht="12.75">
      <c r="A45" s="50"/>
      <c r="B45" s="20" t="s">
        <v>629</v>
      </c>
      <c r="C45" s="51">
        <f>C35+C36+C37+C38+C39+C40</f>
        <v>98398.9162075391</v>
      </c>
    </row>
    <row r="46" spans="1:3" ht="12.75">
      <c r="A46" s="49"/>
      <c r="B46" s="7" t="s">
        <v>966</v>
      </c>
      <c r="C46" s="45"/>
    </row>
    <row r="47" spans="1:3" ht="12.75">
      <c r="A47" s="84">
        <v>1</v>
      </c>
      <c r="B47" s="9" t="s">
        <v>631</v>
      </c>
      <c r="C47" s="48">
        <f>C18*2%</f>
        <v>8081.774400000001</v>
      </c>
    </row>
    <row r="48" spans="1:3" ht="12.75">
      <c r="A48" s="84">
        <v>2</v>
      </c>
      <c r="B48" s="9" t="s">
        <v>391</v>
      </c>
      <c r="C48" s="48">
        <f>C49</f>
        <v>23760.416736000003</v>
      </c>
    </row>
    <row r="49" spans="1:4" ht="12.75">
      <c r="A49" s="49"/>
      <c r="B49" s="5" t="s">
        <v>334</v>
      </c>
      <c r="C49" s="41">
        <f>(C18-C47)*6%</f>
        <v>23760.416736000003</v>
      </c>
      <c r="D49" s="19"/>
    </row>
    <row r="50" spans="1:3" ht="13.5" thickBot="1">
      <c r="A50" s="54"/>
      <c r="B50" s="55" t="s">
        <v>967</v>
      </c>
      <c r="C50" s="56">
        <f>C47+C48</f>
        <v>31842.191136000005</v>
      </c>
    </row>
    <row r="51" spans="1:3" ht="12.75">
      <c r="A51" s="23"/>
      <c r="B51" s="4" t="s">
        <v>288</v>
      </c>
      <c r="C51" s="11">
        <f>C33+C45+C50</f>
        <v>335576.27734353906</v>
      </c>
    </row>
    <row r="52" spans="1:3" ht="12.75">
      <c r="A52" s="23"/>
      <c r="B52" s="77"/>
      <c r="C52" s="1"/>
    </row>
    <row r="53" spans="1:3" ht="15">
      <c r="A53" s="23"/>
      <c r="B53" s="14" t="s">
        <v>812</v>
      </c>
      <c r="C53" s="1">
        <v>42511.14</v>
      </c>
    </row>
    <row r="54" spans="1:3" ht="15">
      <c r="A54" s="23"/>
      <c r="B54" s="14" t="s">
        <v>94</v>
      </c>
      <c r="C54" s="11">
        <f>C18-C51-C53</f>
        <v>26001.302656460975</v>
      </c>
    </row>
    <row r="55" ht="12.75">
      <c r="B55" s="1" t="s">
        <v>85</v>
      </c>
    </row>
    <row r="56" ht="18.75" customHeight="1">
      <c r="B56" s="1" t="s">
        <v>1197</v>
      </c>
    </row>
    <row r="57" spans="1:4" ht="12.75">
      <c r="A57" s="2"/>
      <c r="B57" s="2"/>
      <c r="C57" s="2" t="s">
        <v>790</v>
      </c>
      <c r="D57" s="2"/>
    </row>
    <row r="58" spans="1:4" ht="12.75">
      <c r="A58" s="2"/>
      <c r="B58" s="2"/>
      <c r="C58" s="2" t="s">
        <v>1008</v>
      </c>
      <c r="D58" s="2"/>
    </row>
    <row r="59" spans="1:5" ht="13.5" thickBot="1">
      <c r="A59" s="37"/>
      <c r="B59" s="37" t="s">
        <v>969</v>
      </c>
      <c r="C59" s="32" t="s">
        <v>886</v>
      </c>
      <c r="D59" s="114">
        <f>C8</f>
        <v>2020.1</v>
      </c>
      <c r="E59" t="s">
        <v>116</v>
      </c>
    </row>
    <row r="60" spans="1:5" ht="12.75">
      <c r="A60" s="60" t="s">
        <v>218</v>
      </c>
      <c r="B60" s="39" t="s">
        <v>797</v>
      </c>
      <c r="C60" s="47">
        <v>215536.78</v>
      </c>
      <c r="D60" s="15"/>
      <c r="E60" s="21"/>
    </row>
    <row r="61" spans="1:5" ht="12.75">
      <c r="A61" s="61"/>
      <c r="B61" s="6" t="s">
        <v>118</v>
      </c>
      <c r="C61" s="41"/>
      <c r="D61" s="15"/>
      <c r="E61" s="21"/>
    </row>
    <row r="62" spans="1:5" ht="12.75">
      <c r="A62" s="62" t="s">
        <v>166</v>
      </c>
      <c r="B62" s="6" t="s">
        <v>380</v>
      </c>
      <c r="C62" s="41">
        <v>22972.14</v>
      </c>
      <c r="D62" s="15"/>
      <c r="E62" s="15"/>
    </row>
    <row r="63" spans="1:5" ht="12.75">
      <c r="A63" s="62" t="s">
        <v>166</v>
      </c>
      <c r="B63" s="6" t="s">
        <v>121</v>
      </c>
      <c r="C63" s="41">
        <v>95160.74</v>
      </c>
      <c r="D63" s="15"/>
      <c r="E63" s="15"/>
    </row>
    <row r="64" spans="1:5" ht="13.5" thickBot="1">
      <c r="A64" s="63" t="s">
        <v>166</v>
      </c>
      <c r="B64" s="42" t="s">
        <v>818</v>
      </c>
      <c r="C64" s="46">
        <v>2991.51</v>
      </c>
      <c r="D64" s="15"/>
      <c r="E64" s="15"/>
    </row>
    <row r="65" spans="1:5" ht="12.75">
      <c r="A65" s="60" t="s">
        <v>328</v>
      </c>
      <c r="B65" s="39" t="s">
        <v>343</v>
      </c>
      <c r="C65" s="47">
        <v>17284.46</v>
      </c>
      <c r="D65" s="15"/>
      <c r="E65" s="12"/>
    </row>
    <row r="66" spans="1:5" ht="12.75">
      <c r="A66" s="61"/>
      <c r="B66" s="6" t="s">
        <v>118</v>
      </c>
      <c r="C66" s="41"/>
      <c r="D66" s="15"/>
      <c r="E66" s="12"/>
    </row>
    <row r="67" spans="1:5" ht="12.75">
      <c r="A67" s="62" t="s">
        <v>166</v>
      </c>
      <c r="B67" s="6" t="s">
        <v>380</v>
      </c>
      <c r="C67" s="41">
        <v>100</v>
      </c>
      <c r="D67" s="15"/>
      <c r="E67" s="12"/>
    </row>
    <row r="68" spans="1:5" ht="12.75">
      <c r="A68" s="62" t="s">
        <v>166</v>
      </c>
      <c r="B68" s="6" t="s">
        <v>1021</v>
      </c>
      <c r="C68" s="41">
        <v>9059.75</v>
      </c>
      <c r="D68" s="15"/>
      <c r="E68" s="12"/>
    </row>
    <row r="69" spans="1:5" ht="13.5" thickBot="1">
      <c r="A69" s="63" t="s">
        <v>166</v>
      </c>
      <c r="B69" s="42" t="s">
        <v>818</v>
      </c>
      <c r="C69" s="46">
        <v>115.51</v>
      </c>
      <c r="D69" s="15"/>
      <c r="E69" s="15"/>
    </row>
    <row r="70" spans="1:5" ht="12.75">
      <c r="A70" s="300" t="s">
        <v>787</v>
      </c>
      <c r="B70" s="97" t="s">
        <v>1050</v>
      </c>
      <c r="C70" s="82">
        <f>C71+C72+C74+C73+C75+C76+C78+C79+C80+C77</f>
        <v>98398.91620753909</v>
      </c>
      <c r="D70" s="15"/>
      <c r="E70" s="12"/>
    </row>
    <row r="71" spans="1:5" ht="13.5" thickBot="1">
      <c r="A71" s="40" t="s">
        <v>166</v>
      </c>
      <c r="B71" s="6" t="s">
        <v>227</v>
      </c>
      <c r="C71" s="41">
        <f>C35</f>
        <v>60613.308000000005</v>
      </c>
      <c r="D71" s="15"/>
      <c r="E71" s="12"/>
    </row>
    <row r="72" spans="1:5" ht="12.75">
      <c r="A72" s="40" t="s">
        <v>166</v>
      </c>
      <c r="B72" s="6" t="s">
        <v>370</v>
      </c>
      <c r="C72" s="317">
        <f>401410.25/185335.63*C8</f>
        <v>4375.245310494264</v>
      </c>
      <c r="D72" s="375" t="s">
        <v>1010</v>
      </c>
      <c r="E72" s="376"/>
    </row>
    <row r="73" spans="1:5" ht="12.75">
      <c r="A73" s="73" t="s">
        <v>166</v>
      </c>
      <c r="B73" s="74" t="s">
        <v>397</v>
      </c>
      <c r="C73" s="317">
        <f>435991.01/185335.63*C8</f>
        <v>4752.1647041154465</v>
      </c>
      <c r="D73" s="377" t="s">
        <v>1011</v>
      </c>
      <c r="E73" s="378"/>
    </row>
    <row r="74" spans="1:5" ht="12.75">
      <c r="A74" s="71" t="s">
        <v>166</v>
      </c>
      <c r="B74" s="72" t="s">
        <v>416</v>
      </c>
      <c r="C74" s="317">
        <f>1082167/226605.83*C8</f>
        <v>9647.084352154576</v>
      </c>
      <c r="D74" s="379" t="s">
        <v>1012</v>
      </c>
      <c r="E74" s="380"/>
    </row>
    <row r="75" spans="1:5" ht="25.5">
      <c r="A75" s="73" t="s">
        <v>166</v>
      </c>
      <c r="B75" s="72" t="s">
        <v>231</v>
      </c>
      <c r="C75" s="318">
        <f>845684.35/242356.05*D59</f>
        <v>7048.99652983699</v>
      </c>
      <c r="D75" s="381" t="s">
        <v>1013</v>
      </c>
      <c r="E75" s="382"/>
    </row>
    <row r="76" spans="1:5" ht="12.75">
      <c r="A76" s="73" t="s">
        <v>166</v>
      </c>
      <c r="B76" s="74" t="s">
        <v>808</v>
      </c>
      <c r="C76" s="318">
        <f>642562.44/242356.05*D59</f>
        <v>5355.923176021394</v>
      </c>
      <c r="D76" s="371" t="s">
        <v>1014</v>
      </c>
      <c r="E76" s="372"/>
    </row>
    <row r="77" spans="1:5" ht="12.75">
      <c r="A77" s="73" t="s">
        <v>166</v>
      </c>
      <c r="B77" s="74" t="s">
        <v>826</v>
      </c>
      <c r="C77" s="318">
        <f>51615/196822.43*D59</f>
        <v>529.7539589364891</v>
      </c>
      <c r="D77" s="371" t="s">
        <v>1015</v>
      </c>
      <c r="E77" s="372"/>
    </row>
    <row r="78" spans="1:5" ht="12.75">
      <c r="A78" s="73" t="s">
        <v>166</v>
      </c>
      <c r="B78" s="74" t="s">
        <v>655</v>
      </c>
      <c r="C78" s="318">
        <f>129011.28/196822.43*D59</f>
        <v>1324.1157866407807</v>
      </c>
      <c r="D78" s="371" t="s">
        <v>1016</v>
      </c>
      <c r="E78" s="372"/>
    </row>
    <row r="79" spans="1:5" ht="12.75">
      <c r="A79" s="73" t="s">
        <v>166</v>
      </c>
      <c r="B79" s="74" t="s">
        <v>656</v>
      </c>
      <c r="C79" s="318">
        <f>164128/196822.43*D59</f>
        <v>1684.538559959858</v>
      </c>
      <c r="D79" s="373" t="s">
        <v>1017</v>
      </c>
      <c r="E79" s="374"/>
    </row>
    <row r="80" spans="1:5" ht="13.5" thickBot="1">
      <c r="A80" s="75" t="s">
        <v>166</v>
      </c>
      <c r="B80" s="76" t="s">
        <v>809</v>
      </c>
      <c r="C80" s="319">
        <f>298900.58/196822.43*D59</f>
        <v>3067.785829379304</v>
      </c>
      <c r="D80" s="369" t="s">
        <v>1018</v>
      </c>
      <c r="E80" s="370"/>
    </row>
    <row r="81" ht="13.5" thickBot="1"/>
    <row r="82" spans="2:5" ht="26.25" thickBot="1">
      <c r="B82" s="143"/>
      <c r="C82" s="205" t="s">
        <v>104</v>
      </c>
      <c r="D82" s="236" t="s">
        <v>306</v>
      </c>
      <c r="E82" s="130" t="s">
        <v>305</v>
      </c>
    </row>
    <row r="83" spans="2:5" ht="13.5" thickBot="1">
      <c r="B83" s="363" t="s">
        <v>970</v>
      </c>
      <c r="C83" s="364"/>
      <c r="D83" s="364"/>
      <c r="E83" s="365"/>
    </row>
    <row r="84" spans="2:5" ht="12.75">
      <c r="B84" s="140" t="s">
        <v>285</v>
      </c>
      <c r="C84" s="234">
        <v>141557.72</v>
      </c>
      <c r="D84" s="155">
        <v>153957.44</v>
      </c>
      <c r="E84" s="44">
        <f>D84-C84</f>
        <v>12399.720000000001</v>
      </c>
    </row>
    <row r="85" spans="2:5" ht="12.75">
      <c r="B85" s="115" t="s">
        <v>637</v>
      </c>
      <c r="C85" s="10">
        <v>78606.68</v>
      </c>
      <c r="D85" s="33">
        <v>85226.44</v>
      </c>
      <c r="E85" s="45">
        <f>D85-C85</f>
        <v>6619.760000000009</v>
      </c>
    </row>
    <row r="86" spans="2:5" ht="13.5" thickBot="1">
      <c r="B86" s="157" t="s">
        <v>1221</v>
      </c>
      <c r="C86" s="225">
        <v>10037.15</v>
      </c>
      <c r="D86" s="245">
        <v>10624.26</v>
      </c>
      <c r="E86" s="46">
        <f>D86-C86</f>
        <v>587.1100000000006</v>
      </c>
    </row>
    <row r="87" spans="2:5" ht="13.5" thickBot="1">
      <c r="B87" s="230"/>
      <c r="C87" s="231">
        <f>SUM(C84:C86)</f>
        <v>230201.55</v>
      </c>
      <c r="D87" s="232">
        <f>SUM(D84:D86)</f>
        <v>249808.14</v>
      </c>
      <c r="E87" s="233">
        <f>D87-C87</f>
        <v>19606.590000000026</v>
      </c>
    </row>
    <row r="88" spans="2:5" ht="13.5" thickBot="1">
      <c r="B88" s="363" t="s">
        <v>1054</v>
      </c>
      <c r="C88" s="364"/>
      <c r="D88" s="364"/>
      <c r="E88" s="365"/>
    </row>
    <row r="89" spans="2:5" ht="12.75">
      <c r="B89" s="140" t="s">
        <v>285</v>
      </c>
      <c r="C89" s="234">
        <v>190660.47</v>
      </c>
      <c r="D89" s="155">
        <v>203362.9</v>
      </c>
      <c r="E89" s="44">
        <f>D89-C89</f>
        <v>12702.429999999993</v>
      </c>
    </row>
    <row r="90" spans="2:5" ht="12.75">
      <c r="B90" s="115" t="s">
        <v>637</v>
      </c>
      <c r="C90" s="10">
        <v>94499.39</v>
      </c>
      <c r="D90" s="34">
        <v>99983.39</v>
      </c>
      <c r="E90" s="45">
        <f>D90-C90</f>
        <v>5484</v>
      </c>
    </row>
    <row r="91" spans="2:5" ht="12.75">
      <c r="B91" s="116" t="s">
        <v>633</v>
      </c>
      <c r="C91" s="94">
        <v>15400.02</v>
      </c>
      <c r="D91" s="83">
        <v>16931.81</v>
      </c>
      <c r="E91" s="45">
        <f>D91-C91</f>
        <v>1531.7900000000009</v>
      </c>
    </row>
    <row r="92" spans="2:5" ht="26.25" thickBot="1">
      <c r="B92" s="156" t="s">
        <v>119</v>
      </c>
      <c r="C92" s="229">
        <v>2500</v>
      </c>
      <c r="D92" s="229">
        <v>2500</v>
      </c>
      <c r="E92" s="246">
        <f>D92-C92</f>
        <v>0</v>
      </c>
    </row>
    <row r="93" spans="2:5" ht="13.5" thickBot="1">
      <c r="B93" s="153"/>
      <c r="C93" s="152">
        <f>SUM(C89:C92)</f>
        <v>303059.88</v>
      </c>
      <c r="D93" s="138">
        <f>SUM(D89:D92)</f>
        <v>322778.1</v>
      </c>
      <c r="E93" s="206">
        <f>SUM(E89:E92)</f>
        <v>19718.219999999994</v>
      </c>
    </row>
    <row r="94" spans="2:5" ht="13.5" thickBot="1">
      <c r="B94" s="363" t="s">
        <v>168</v>
      </c>
      <c r="C94" s="364"/>
      <c r="D94" s="364"/>
      <c r="E94" s="365"/>
    </row>
    <row r="95" spans="2:5" ht="12.75">
      <c r="B95" s="140" t="s">
        <v>285</v>
      </c>
      <c r="C95" s="234">
        <v>202181.61</v>
      </c>
      <c r="D95" s="155">
        <v>211044.6</v>
      </c>
      <c r="E95" s="253">
        <f>D95-C95</f>
        <v>8862.99000000002</v>
      </c>
    </row>
    <row r="96" spans="2:5" ht="12.75">
      <c r="B96" s="115" t="s">
        <v>637</v>
      </c>
      <c r="C96" s="10">
        <v>98664.73</v>
      </c>
      <c r="D96" s="34">
        <v>102611.88</v>
      </c>
      <c r="E96" s="53">
        <f>D96-C96</f>
        <v>3947.1500000000087</v>
      </c>
    </row>
    <row r="97" spans="2:5" ht="13.5" thickBot="1">
      <c r="B97" s="157" t="s">
        <v>633</v>
      </c>
      <c r="C97" s="247">
        <v>18099.9</v>
      </c>
      <c r="D97" s="226">
        <v>18113.4</v>
      </c>
      <c r="E97" s="262">
        <f>D97-C97</f>
        <v>13.5</v>
      </c>
    </row>
    <row r="98" spans="2:5" ht="13.5" thickBot="1">
      <c r="B98" s="153"/>
      <c r="C98" s="152">
        <f>SUM(C95:C97)</f>
        <v>318946.24</v>
      </c>
      <c r="D98" s="138">
        <f>SUM(D95:D97)</f>
        <v>331769.88</v>
      </c>
      <c r="E98" s="206">
        <f>SUM(E95:E97)</f>
        <v>12823.640000000029</v>
      </c>
    </row>
    <row r="99" spans="2:5" ht="13.5" thickBot="1">
      <c r="B99" s="363" t="s">
        <v>795</v>
      </c>
      <c r="C99" s="364"/>
      <c r="D99" s="364"/>
      <c r="E99" s="365"/>
    </row>
    <row r="100" spans="2:5" ht="12.75">
      <c r="B100" s="140" t="s">
        <v>285</v>
      </c>
      <c r="C100" s="141">
        <v>279749.8</v>
      </c>
      <c r="D100" s="155">
        <v>273282.96</v>
      </c>
      <c r="E100" s="253">
        <f aca="true" t="shared" si="1" ref="E100:E105">D100-C100</f>
        <v>-6466.839999999967</v>
      </c>
    </row>
    <row r="101" spans="2:5" ht="12.75">
      <c r="B101" s="115" t="s">
        <v>637</v>
      </c>
      <c r="C101" s="5">
        <v>135665.86</v>
      </c>
      <c r="D101" s="33">
        <v>132886.38</v>
      </c>
      <c r="E101" s="53">
        <f t="shared" si="1"/>
        <v>-2779.4799999999814</v>
      </c>
    </row>
    <row r="102" spans="2:5" ht="12.75">
      <c r="B102" s="115" t="s">
        <v>633</v>
      </c>
      <c r="C102" s="65">
        <v>23117.55</v>
      </c>
      <c r="D102" s="70">
        <v>23487.36</v>
      </c>
      <c r="E102" s="53">
        <f t="shared" si="1"/>
        <v>369.8100000000013</v>
      </c>
    </row>
    <row r="103" spans="2:5" ht="12.75">
      <c r="B103" s="278" t="s">
        <v>792</v>
      </c>
      <c r="C103" s="122">
        <v>600</v>
      </c>
      <c r="D103" s="122">
        <v>800</v>
      </c>
      <c r="E103" s="81">
        <f t="shared" si="1"/>
        <v>200</v>
      </c>
    </row>
    <row r="104" spans="2:5" ht="12.75">
      <c r="B104" s="278" t="s">
        <v>364</v>
      </c>
      <c r="C104" s="122">
        <v>64348.94</v>
      </c>
      <c r="D104" s="122">
        <v>73075.66</v>
      </c>
      <c r="E104" s="53">
        <f t="shared" si="1"/>
        <v>8726.720000000001</v>
      </c>
    </row>
    <row r="105" spans="2:5" ht="13.5" thickBot="1">
      <c r="B105" s="157" t="s">
        <v>1200</v>
      </c>
      <c r="C105" s="229">
        <v>10791.66</v>
      </c>
      <c r="D105" s="229">
        <v>10791.66</v>
      </c>
      <c r="E105" s="262">
        <f t="shared" si="1"/>
        <v>0</v>
      </c>
    </row>
    <row r="106" spans="2:5" ht="13.5" thickBot="1">
      <c r="B106" s="153"/>
      <c r="C106" s="152">
        <f>SUM(C100:C105)</f>
        <v>514273.80999999994</v>
      </c>
      <c r="D106" s="138">
        <f>SUM(D100:D105)</f>
        <v>514324.01999999996</v>
      </c>
      <c r="E106" s="206">
        <f>SUM(E100:E105)</f>
        <v>50.2100000000537</v>
      </c>
    </row>
    <row r="107" spans="2:5" ht="13.5" thickBot="1">
      <c r="B107" s="363" t="s">
        <v>87</v>
      </c>
      <c r="C107" s="364"/>
      <c r="D107" s="364"/>
      <c r="E107" s="365"/>
    </row>
    <row r="108" spans="2:5" ht="12.75">
      <c r="B108" s="140" t="s">
        <v>285</v>
      </c>
      <c r="C108" s="234">
        <v>227040.77</v>
      </c>
      <c r="D108" s="218">
        <f>251485.51+0.01</f>
        <v>251485.52000000002</v>
      </c>
      <c r="E108" s="253">
        <f aca="true" t="shared" si="2" ref="E108:E114">D108-C108</f>
        <v>24444.75000000003</v>
      </c>
    </row>
    <row r="109" spans="2:5" ht="12.75">
      <c r="B109" s="115" t="s">
        <v>637</v>
      </c>
      <c r="C109" s="10">
        <v>110847.07</v>
      </c>
      <c r="D109" s="98">
        <v>122782.38</v>
      </c>
      <c r="E109" s="53">
        <f t="shared" si="2"/>
        <v>11935.309999999998</v>
      </c>
    </row>
    <row r="110" spans="2:5" ht="12.75">
      <c r="B110" s="115" t="s">
        <v>364</v>
      </c>
      <c r="C110" s="10">
        <v>31538.09</v>
      </c>
      <c r="D110" s="98">
        <v>26629.12</v>
      </c>
      <c r="E110" s="53">
        <f t="shared" si="2"/>
        <v>-4908.970000000001</v>
      </c>
    </row>
    <row r="111" spans="2:5" ht="12.75">
      <c r="B111" s="115" t="s">
        <v>633</v>
      </c>
      <c r="C111" s="10">
        <v>23569.4</v>
      </c>
      <c r="D111" s="98">
        <v>29421.36</v>
      </c>
      <c r="E111" s="53">
        <f t="shared" si="2"/>
        <v>5851.959999999999</v>
      </c>
    </row>
    <row r="112" spans="2:5" ht="12.75">
      <c r="B112" s="115" t="s">
        <v>415</v>
      </c>
      <c r="C112" s="10">
        <v>856.62</v>
      </c>
      <c r="D112" s="98">
        <v>1401.97</v>
      </c>
      <c r="E112" s="81">
        <f t="shared" si="2"/>
        <v>545.35</v>
      </c>
    </row>
    <row r="113" spans="2:5" ht="12.75">
      <c r="B113" s="115" t="s">
        <v>1019</v>
      </c>
      <c r="C113" s="10">
        <v>7836.77</v>
      </c>
      <c r="D113" s="98">
        <v>7836.77</v>
      </c>
      <c r="E113" s="53">
        <f t="shared" si="2"/>
        <v>0</v>
      </c>
    </row>
    <row r="114" spans="2:5" ht="13.5" thickBot="1">
      <c r="B114" s="157" t="s">
        <v>29</v>
      </c>
      <c r="C114" s="225">
        <f>2400</f>
        <v>2400</v>
      </c>
      <c r="D114" s="227">
        <f>2400</f>
        <v>2400</v>
      </c>
      <c r="E114" s="262">
        <f t="shared" si="2"/>
        <v>0</v>
      </c>
    </row>
    <row r="115" spans="2:5" ht="13.5" thickBot="1">
      <c r="B115" s="153"/>
      <c r="C115" s="152">
        <f>SUM(C108:C114)</f>
        <v>404088.72000000003</v>
      </c>
      <c r="D115" s="138">
        <f>SUM(D108:D114)</f>
        <v>441957.12</v>
      </c>
      <c r="E115" s="206">
        <f>SUM(E108:E114)</f>
        <v>37868.40000000002</v>
      </c>
    </row>
    <row r="116" spans="2:5" ht="13.5" thickBot="1">
      <c r="B116" s="366" t="s">
        <v>379</v>
      </c>
      <c r="C116" s="367"/>
      <c r="D116" s="367"/>
      <c r="E116" s="368"/>
    </row>
    <row r="117" spans="2:5" ht="13.5" thickBot="1">
      <c r="B117" s="153"/>
      <c r="C117" s="117">
        <f>C87+C93+C98+C106+C115</f>
        <v>1770570.2</v>
      </c>
      <c r="D117" s="117">
        <f>D87+D93+D98+D106+D115</f>
        <v>1860637.2599999998</v>
      </c>
      <c r="E117" s="117">
        <f>E87+E93+E98+E106+E115</f>
        <v>90067.06000000013</v>
      </c>
    </row>
  </sheetData>
  <sheetProtection/>
  <mergeCells count="23">
    <mergeCell ref="A6:E6"/>
    <mergeCell ref="A19:D19"/>
    <mergeCell ref="A20:D20"/>
    <mergeCell ref="D24:E24"/>
    <mergeCell ref="A2:B2"/>
    <mergeCell ref="C2:E2"/>
    <mergeCell ref="C3:E3"/>
    <mergeCell ref="B4:E4"/>
    <mergeCell ref="D76:E76"/>
    <mergeCell ref="D77:E77"/>
    <mergeCell ref="D78:E78"/>
    <mergeCell ref="D79:E79"/>
    <mergeCell ref="D72:E72"/>
    <mergeCell ref="D73:E73"/>
    <mergeCell ref="D74:E74"/>
    <mergeCell ref="D75:E75"/>
    <mergeCell ref="B99:E99"/>
    <mergeCell ref="B116:E116"/>
    <mergeCell ref="B107:E107"/>
    <mergeCell ref="D80:E80"/>
    <mergeCell ref="B83:E83"/>
    <mergeCell ref="B88:E88"/>
    <mergeCell ref="B94:E94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1.625" style="0" customWidth="1"/>
    <col min="3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164</v>
      </c>
      <c r="C7" s="26"/>
      <c r="D7" s="24"/>
    </row>
    <row r="8" spans="1:4" ht="15">
      <c r="A8" s="26"/>
      <c r="B8" s="27" t="s">
        <v>115</v>
      </c>
      <c r="C8" s="38">
        <v>1873.6</v>
      </c>
      <c r="D8" s="92" t="s">
        <v>116</v>
      </c>
    </row>
    <row r="9" spans="1:4" ht="15">
      <c r="A9" s="26"/>
      <c r="B9" s="27" t="s">
        <v>654</v>
      </c>
      <c r="C9" s="93">
        <v>200.8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218534.43</v>
      </c>
      <c r="D12" s="155">
        <v>227686.91</v>
      </c>
      <c r="E12" s="242">
        <f aca="true" t="shared" si="0" ref="E12:E18">D12-C12</f>
        <v>9152.48000000001</v>
      </c>
    </row>
    <row r="13" spans="1:5" ht="12.75">
      <c r="A13" s="84">
        <v>2</v>
      </c>
      <c r="B13" s="5" t="s">
        <v>637</v>
      </c>
      <c r="C13" s="5">
        <v>107685.07</v>
      </c>
      <c r="D13" s="33">
        <v>113877.6</v>
      </c>
      <c r="E13" s="57">
        <f t="shared" si="0"/>
        <v>6192.529999999999</v>
      </c>
    </row>
    <row r="14" spans="1:5" ht="12.75">
      <c r="A14" s="87">
        <v>3</v>
      </c>
      <c r="B14" s="5" t="s">
        <v>633</v>
      </c>
      <c r="C14" s="65">
        <v>26385.17</v>
      </c>
      <c r="D14" s="70">
        <v>28319.76</v>
      </c>
      <c r="E14" s="57">
        <f t="shared" si="0"/>
        <v>1934.5900000000001</v>
      </c>
    </row>
    <row r="15" spans="1:5" ht="12.75">
      <c r="A15" s="84">
        <v>4</v>
      </c>
      <c r="B15" s="121" t="s">
        <v>792</v>
      </c>
      <c r="C15" s="122">
        <f>2400+3600</f>
        <v>6000</v>
      </c>
      <c r="D15" s="122">
        <f>2400+3300</f>
        <v>5700</v>
      </c>
      <c r="E15" s="128">
        <f t="shared" si="0"/>
        <v>-300</v>
      </c>
    </row>
    <row r="16" spans="1:5" ht="12.75">
      <c r="A16" s="84">
        <v>5</v>
      </c>
      <c r="B16" s="5" t="s">
        <v>364</v>
      </c>
      <c r="C16" s="10">
        <v>13702.21</v>
      </c>
      <c r="D16" s="98">
        <v>15705.45</v>
      </c>
      <c r="E16" s="57">
        <f t="shared" si="0"/>
        <v>2003.2400000000016</v>
      </c>
    </row>
    <row r="17" spans="1:5" ht="12.75">
      <c r="A17" s="84">
        <v>6</v>
      </c>
      <c r="B17" s="329" t="s">
        <v>59</v>
      </c>
      <c r="C17" s="125">
        <v>45991.74</v>
      </c>
      <c r="D17" s="125">
        <v>63545.49</v>
      </c>
      <c r="E17" s="57">
        <f t="shared" si="0"/>
        <v>17553.75</v>
      </c>
    </row>
    <row r="18" spans="1:5" ht="13.5" thickBot="1">
      <c r="A18" s="87">
        <v>7</v>
      </c>
      <c r="B18" s="5" t="s">
        <v>805</v>
      </c>
      <c r="C18" s="67">
        <v>39198.17</v>
      </c>
      <c r="D18" s="83">
        <v>42481.25</v>
      </c>
      <c r="E18" s="57">
        <f t="shared" si="0"/>
        <v>3283.0800000000017</v>
      </c>
    </row>
    <row r="19" spans="1:5" ht="13.5" thickBot="1">
      <c r="A19" s="208"/>
      <c r="B19" s="209"/>
      <c r="C19" s="135">
        <f>SUM(C12:C18)</f>
        <v>457496.79</v>
      </c>
      <c r="D19" s="135">
        <f>SUM(D12:D18)</f>
        <v>497316.46</v>
      </c>
      <c r="E19" s="289">
        <f>SUM(E12:E18)</f>
        <v>39819.67000000001</v>
      </c>
    </row>
    <row r="20" spans="1:5" ht="12.75">
      <c r="A20" s="385" t="s">
        <v>793</v>
      </c>
      <c r="B20" s="386"/>
      <c r="C20" s="386"/>
      <c r="D20" s="386"/>
      <c r="E20" s="108">
        <f>E118</f>
        <v>59856.08000000002</v>
      </c>
    </row>
    <row r="21" spans="1:5" ht="12.75">
      <c r="A21" s="387" t="s">
        <v>794</v>
      </c>
      <c r="B21" s="384"/>
      <c r="C21" s="384"/>
      <c r="D21" s="384"/>
      <c r="E21" s="22">
        <v>177406.76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417</v>
      </c>
      <c r="C24" s="80">
        <f>C61</f>
        <v>128040.39</v>
      </c>
      <c r="E24" s="29"/>
    </row>
    <row r="25" spans="1:5" ht="25.5">
      <c r="A25" s="91">
        <v>2</v>
      </c>
      <c r="B25" s="25" t="s">
        <v>424</v>
      </c>
      <c r="C25" s="102">
        <f>C65</f>
        <v>13374.47</v>
      </c>
      <c r="D25" s="388"/>
      <c r="E25" s="389"/>
    </row>
    <row r="26" spans="1:5" ht="12.75">
      <c r="A26" s="84">
        <v>3</v>
      </c>
      <c r="B26" s="9" t="s">
        <v>649</v>
      </c>
      <c r="C26" s="48">
        <v>16622</v>
      </c>
      <c r="E26" s="29"/>
    </row>
    <row r="27" spans="1:5" ht="12.75">
      <c r="A27" s="84">
        <v>4</v>
      </c>
      <c r="B27" s="9" t="s">
        <v>122</v>
      </c>
      <c r="C27" s="48">
        <f>(C8*0.55*12)</f>
        <v>12365.76</v>
      </c>
      <c r="E27" s="29"/>
    </row>
    <row r="28" spans="1:5" ht="12.75">
      <c r="A28" s="84">
        <v>5</v>
      </c>
      <c r="B28" s="9" t="s">
        <v>658</v>
      </c>
      <c r="C28" s="79">
        <v>24080.16</v>
      </c>
      <c r="E28" s="29"/>
    </row>
    <row r="29" spans="1:5" ht="25.5">
      <c r="A29" s="91">
        <v>6</v>
      </c>
      <c r="B29" s="25" t="s">
        <v>441</v>
      </c>
      <c r="C29" s="96">
        <v>3238.9</v>
      </c>
      <c r="E29" s="29"/>
    </row>
    <row r="30" spans="1:5" ht="12.75">
      <c r="A30" s="91">
        <v>7</v>
      </c>
      <c r="B30" s="346" t="s">
        <v>909</v>
      </c>
      <c r="C30" s="96">
        <v>15283.06</v>
      </c>
      <c r="E30" s="29"/>
    </row>
    <row r="31" spans="1:5" ht="12.75">
      <c r="A31" s="91">
        <v>8</v>
      </c>
      <c r="B31" s="346" t="s">
        <v>746</v>
      </c>
      <c r="C31" s="96">
        <v>70437.62</v>
      </c>
      <c r="E31" s="29"/>
    </row>
    <row r="32" spans="1:5" ht="25.5">
      <c r="A32" s="91">
        <v>9</v>
      </c>
      <c r="B32" s="25" t="s">
        <v>1128</v>
      </c>
      <c r="C32" s="96">
        <v>1400</v>
      </c>
      <c r="E32" s="29"/>
    </row>
    <row r="33" spans="1:5" ht="25.5">
      <c r="A33" s="91">
        <v>10</v>
      </c>
      <c r="B33" s="25" t="s">
        <v>60</v>
      </c>
      <c r="C33" s="96">
        <v>7900</v>
      </c>
      <c r="E33" s="29"/>
    </row>
    <row r="34" spans="1:3" ht="12.75">
      <c r="A34" s="50"/>
      <c r="B34" s="20" t="s">
        <v>629</v>
      </c>
      <c r="C34" s="51">
        <f>SUM(C24:C33)</f>
        <v>292742.36</v>
      </c>
    </row>
    <row r="35" spans="1:3" ht="12.75">
      <c r="A35" s="49"/>
      <c r="B35" s="8" t="s">
        <v>965</v>
      </c>
      <c r="C35" s="45"/>
    </row>
    <row r="36" spans="1:3" ht="12.75">
      <c r="A36" s="84">
        <v>1</v>
      </c>
      <c r="B36" s="9" t="s">
        <v>228</v>
      </c>
      <c r="C36" s="48">
        <f>(C19)*15%</f>
        <v>68624.51849999999</v>
      </c>
    </row>
    <row r="37" spans="1:3" ht="12.75">
      <c r="A37" s="84">
        <v>2</v>
      </c>
      <c r="B37" s="9" t="s">
        <v>813</v>
      </c>
      <c r="C37" s="48">
        <f>C71</f>
        <v>4057.947435147791</v>
      </c>
    </row>
    <row r="38" spans="1:3" ht="12.75">
      <c r="A38" s="84">
        <v>3</v>
      </c>
      <c r="B38" s="9" t="s">
        <v>653</v>
      </c>
      <c r="C38" s="48">
        <f>C72</f>
        <v>4407.532196243107</v>
      </c>
    </row>
    <row r="39" spans="1:3" ht="12.75">
      <c r="A39" s="84">
        <v>4</v>
      </c>
      <c r="B39" s="9" t="s">
        <v>1114</v>
      </c>
      <c r="C39" s="52">
        <f>C73</f>
        <v>8947.466581949811</v>
      </c>
    </row>
    <row r="40" spans="1:3" ht="12.75">
      <c r="A40" s="84">
        <v>5</v>
      </c>
      <c r="B40" s="9" t="s">
        <v>162</v>
      </c>
      <c r="C40" s="52">
        <f>C74</f>
        <v>7238.472551603313</v>
      </c>
    </row>
    <row r="41" spans="1:3" ht="12.75">
      <c r="A41" s="84">
        <v>6</v>
      </c>
      <c r="B41" s="9" t="s">
        <v>1051</v>
      </c>
      <c r="C41" s="48">
        <f>C75+C77+C78+C79+C76</f>
        <v>12109.662171660835</v>
      </c>
    </row>
    <row r="42" spans="1:3" ht="12.75">
      <c r="A42" s="49"/>
      <c r="B42" s="74" t="s">
        <v>809</v>
      </c>
      <c r="C42" s="53"/>
    </row>
    <row r="43" spans="1:3" ht="12.75">
      <c r="A43" s="49"/>
      <c r="B43" s="5" t="s">
        <v>655</v>
      </c>
      <c r="C43" s="53"/>
    </row>
    <row r="44" spans="1:3" ht="12.75">
      <c r="A44" s="49"/>
      <c r="B44" s="74" t="s">
        <v>656</v>
      </c>
      <c r="C44" s="53"/>
    </row>
    <row r="45" spans="1:3" ht="12.75">
      <c r="A45" s="49"/>
      <c r="B45" s="74" t="s">
        <v>808</v>
      </c>
      <c r="C45" s="53"/>
    </row>
    <row r="46" spans="1:3" ht="12.75">
      <c r="A46" s="50"/>
      <c r="B46" s="20" t="s">
        <v>629</v>
      </c>
      <c r="C46" s="51">
        <f>C36+C37+C38+C39+C40+C41</f>
        <v>105385.59943660483</v>
      </c>
    </row>
    <row r="47" spans="1:3" ht="12.75">
      <c r="A47" s="49"/>
      <c r="B47" s="7" t="s">
        <v>966</v>
      </c>
      <c r="C47" s="45"/>
    </row>
    <row r="48" spans="1:3" ht="12.75">
      <c r="A48" s="84">
        <v>1</v>
      </c>
      <c r="B48" s="9" t="s">
        <v>631</v>
      </c>
      <c r="C48" s="48">
        <f>C19*2%</f>
        <v>9149.9358</v>
      </c>
    </row>
    <row r="49" spans="1:3" ht="12.75">
      <c r="A49" s="84">
        <v>2</v>
      </c>
      <c r="B49" s="9" t="s">
        <v>391</v>
      </c>
      <c r="C49" s="48">
        <f>C50</f>
        <v>26900.811252</v>
      </c>
    </row>
    <row r="50" spans="1:4" ht="12.75">
      <c r="A50" s="49"/>
      <c r="B50" s="5" t="s">
        <v>334</v>
      </c>
      <c r="C50" s="41">
        <f>(C19-C48)*6%</f>
        <v>26900.811252</v>
      </c>
      <c r="D50" s="19"/>
    </row>
    <row r="51" spans="1:3" ht="13.5" thickBot="1">
      <c r="A51" s="54"/>
      <c r="B51" s="55" t="s">
        <v>967</v>
      </c>
      <c r="C51" s="56">
        <f>C48+C49</f>
        <v>36050.747052</v>
      </c>
    </row>
    <row r="52" spans="1:3" ht="12.75">
      <c r="A52" s="23"/>
      <c r="B52" s="4" t="s">
        <v>288</v>
      </c>
      <c r="C52" s="11">
        <f>C34+C46+C51</f>
        <v>434178.70648860483</v>
      </c>
    </row>
    <row r="53" spans="1:3" ht="12.75">
      <c r="A53" s="23"/>
      <c r="B53" s="77"/>
      <c r="C53" s="1"/>
    </row>
    <row r="54" spans="1:3" ht="15">
      <c r="A54" s="23"/>
      <c r="B54" s="14" t="s">
        <v>812</v>
      </c>
      <c r="C54" s="1">
        <v>86657.55</v>
      </c>
    </row>
    <row r="55" spans="1:3" ht="15">
      <c r="A55" s="23"/>
      <c r="B55" s="14" t="s">
        <v>180</v>
      </c>
      <c r="C55" s="11">
        <f>C52+C54-C19</f>
        <v>63339.46648860484</v>
      </c>
    </row>
    <row r="56" ht="12.75">
      <c r="B56" s="1" t="s">
        <v>85</v>
      </c>
    </row>
    <row r="57" ht="15.75" customHeight="1">
      <c r="B57" s="1" t="s">
        <v>1197</v>
      </c>
    </row>
    <row r="58" spans="1:4" ht="12.75">
      <c r="A58" s="2"/>
      <c r="B58" s="2"/>
      <c r="C58" s="2" t="s">
        <v>790</v>
      </c>
      <c r="D58" s="2"/>
    </row>
    <row r="59" spans="1:4" ht="12.75">
      <c r="A59" s="2"/>
      <c r="B59" s="2"/>
      <c r="C59" s="2" t="s">
        <v>736</v>
      </c>
      <c r="D59" s="2"/>
    </row>
    <row r="60" spans="1:5" ht="13.5" thickBot="1">
      <c r="A60" s="37"/>
      <c r="B60" s="37" t="s">
        <v>969</v>
      </c>
      <c r="C60" s="32" t="s">
        <v>886</v>
      </c>
      <c r="D60" s="114">
        <f>C8+C9</f>
        <v>2074.4</v>
      </c>
      <c r="E60" t="s">
        <v>116</v>
      </c>
    </row>
    <row r="61" spans="1:5" ht="12.75">
      <c r="A61" s="60" t="s">
        <v>218</v>
      </c>
      <c r="B61" s="39" t="s">
        <v>286</v>
      </c>
      <c r="C61" s="47">
        <v>128040.39</v>
      </c>
      <c r="D61" s="15"/>
      <c r="E61" s="21"/>
    </row>
    <row r="62" spans="1:5" ht="12.75">
      <c r="A62" s="61"/>
      <c r="B62" s="6" t="s">
        <v>118</v>
      </c>
      <c r="C62" s="41"/>
      <c r="D62" s="15"/>
      <c r="E62" s="21"/>
    </row>
    <row r="63" spans="1:5" ht="12.75">
      <c r="A63" s="62" t="s">
        <v>166</v>
      </c>
      <c r="B63" s="6" t="s">
        <v>380</v>
      </c>
      <c r="C63" s="41">
        <v>418</v>
      </c>
      <c r="D63" s="15"/>
      <c r="E63" s="15"/>
    </row>
    <row r="64" spans="1:5" ht="13.5" thickBot="1">
      <c r="A64" s="62" t="s">
        <v>166</v>
      </c>
      <c r="B64" s="6" t="s">
        <v>210</v>
      </c>
      <c r="C64" s="41">
        <v>2435.08</v>
      </c>
      <c r="D64" s="15"/>
      <c r="E64" s="15"/>
    </row>
    <row r="65" spans="1:5" ht="12.75">
      <c r="A65" s="60" t="s">
        <v>328</v>
      </c>
      <c r="B65" s="39" t="s">
        <v>310</v>
      </c>
      <c r="C65" s="47">
        <v>13374.47</v>
      </c>
      <c r="D65" s="15"/>
      <c r="E65" s="12"/>
    </row>
    <row r="66" spans="1:5" ht="12.75">
      <c r="A66" s="61"/>
      <c r="B66" s="6" t="s">
        <v>118</v>
      </c>
      <c r="C66" s="41"/>
      <c r="D66" s="15"/>
      <c r="E66" s="12"/>
    </row>
    <row r="67" spans="1:5" ht="12.75">
      <c r="A67" s="62" t="s">
        <v>166</v>
      </c>
      <c r="B67" s="6" t="s">
        <v>380</v>
      </c>
      <c r="C67" s="41">
        <v>6841</v>
      </c>
      <c r="D67" s="15"/>
      <c r="E67" s="12"/>
    </row>
    <row r="68" spans="1:5" ht="13.5" thickBot="1">
      <c r="A68" s="63" t="s">
        <v>166</v>
      </c>
      <c r="B68" s="42" t="s">
        <v>818</v>
      </c>
      <c r="C68" s="46">
        <v>107.13</v>
      </c>
      <c r="D68" s="15"/>
      <c r="E68" s="15"/>
    </row>
    <row r="69" spans="1:5" ht="12.75">
      <c r="A69" s="300" t="s">
        <v>787</v>
      </c>
      <c r="B69" s="97" t="s">
        <v>1050</v>
      </c>
      <c r="C69" s="82">
        <f>C70+C71+C73+C72+C74+C75+C77+C78+C79+C76</f>
        <v>105385.59943660484</v>
      </c>
      <c r="D69" s="15"/>
      <c r="E69" s="12"/>
    </row>
    <row r="70" spans="1:5" ht="13.5" thickBot="1">
      <c r="A70" s="40" t="s">
        <v>166</v>
      </c>
      <c r="B70" s="6" t="s">
        <v>227</v>
      </c>
      <c r="C70" s="41">
        <f>C36</f>
        <v>68624.51849999999</v>
      </c>
      <c r="D70" s="15"/>
      <c r="E70" s="12"/>
    </row>
    <row r="71" spans="1:5" ht="12.75">
      <c r="A71" s="40" t="s">
        <v>166</v>
      </c>
      <c r="B71" s="6" t="s">
        <v>370</v>
      </c>
      <c r="C71" s="317">
        <f>401410.25/185335.63*C8</f>
        <v>4057.947435147791</v>
      </c>
      <c r="D71" s="375" t="s">
        <v>737</v>
      </c>
      <c r="E71" s="376"/>
    </row>
    <row r="72" spans="1:5" ht="12.75">
      <c r="A72" s="73" t="s">
        <v>166</v>
      </c>
      <c r="B72" s="74" t="s">
        <v>397</v>
      </c>
      <c r="C72" s="317">
        <f>435991.01/185335.63*C8</f>
        <v>4407.532196243107</v>
      </c>
      <c r="D72" s="377" t="s">
        <v>738</v>
      </c>
      <c r="E72" s="378"/>
    </row>
    <row r="73" spans="1:5" ht="12.75">
      <c r="A73" s="71" t="s">
        <v>166</v>
      </c>
      <c r="B73" s="72" t="s">
        <v>416</v>
      </c>
      <c r="C73" s="317">
        <f>1082167/226605.83*C8</f>
        <v>8947.466581949811</v>
      </c>
      <c r="D73" s="379" t="s">
        <v>739</v>
      </c>
      <c r="E73" s="380"/>
    </row>
    <row r="74" spans="1:5" ht="25.5">
      <c r="A74" s="73" t="s">
        <v>166</v>
      </c>
      <c r="B74" s="72" t="s">
        <v>231</v>
      </c>
      <c r="C74" s="318">
        <f>845684.35/242356.05*D60</f>
        <v>7238.472551603313</v>
      </c>
      <c r="D74" s="381" t="s">
        <v>740</v>
      </c>
      <c r="E74" s="382"/>
    </row>
    <row r="75" spans="1:5" ht="12.75">
      <c r="A75" s="73" t="s">
        <v>166</v>
      </c>
      <c r="B75" s="74" t="s">
        <v>808</v>
      </c>
      <c r="C75" s="318">
        <f>622234.26/242356.05*D60</f>
        <v>5325.894480224447</v>
      </c>
      <c r="D75" s="371" t="s">
        <v>741</v>
      </c>
      <c r="E75" s="372"/>
    </row>
    <row r="76" spans="1:5" ht="12.75">
      <c r="A76" s="73" t="s">
        <v>166</v>
      </c>
      <c r="B76" s="74" t="s">
        <v>826</v>
      </c>
      <c r="C76" s="318">
        <f>51615/196822.43*D60</f>
        <v>543.9936698271636</v>
      </c>
      <c r="D76" s="371" t="s">
        <v>742</v>
      </c>
      <c r="E76" s="372"/>
    </row>
    <row r="77" spans="1:5" ht="12.75">
      <c r="A77" s="73" t="s">
        <v>166</v>
      </c>
      <c r="B77" s="74" t="s">
        <v>655</v>
      </c>
      <c r="C77" s="318">
        <f>129011.28/196822.43*D60</f>
        <v>1359.7078302102052</v>
      </c>
      <c r="D77" s="371" t="s">
        <v>743</v>
      </c>
      <c r="E77" s="372"/>
    </row>
    <row r="78" spans="1:5" ht="12.75">
      <c r="A78" s="73" t="s">
        <v>166</v>
      </c>
      <c r="B78" s="74" t="s">
        <v>656</v>
      </c>
      <c r="C78" s="318">
        <f>164128/196822.43*D60</f>
        <v>1729.818716291634</v>
      </c>
      <c r="D78" s="373" t="s">
        <v>744</v>
      </c>
      <c r="E78" s="374"/>
    </row>
    <row r="79" spans="1:5" ht="13.5" thickBot="1">
      <c r="A79" s="75" t="s">
        <v>166</v>
      </c>
      <c r="B79" s="76" t="s">
        <v>809</v>
      </c>
      <c r="C79" s="319">
        <f>298900.58/196822.43*D60</f>
        <v>3150.247475107385</v>
      </c>
      <c r="D79" s="369" t="s">
        <v>745</v>
      </c>
      <c r="E79" s="370"/>
    </row>
    <row r="80" ht="13.5" thickBot="1"/>
    <row r="81" spans="2:5" ht="26.25" thickBot="1">
      <c r="B81" s="143"/>
      <c r="C81" s="205" t="s">
        <v>104</v>
      </c>
      <c r="D81" s="236" t="s">
        <v>306</v>
      </c>
      <c r="E81" s="130" t="s">
        <v>305</v>
      </c>
    </row>
    <row r="82" spans="2:5" ht="13.5" thickBot="1">
      <c r="B82" s="363" t="s">
        <v>970</v>
      </c>
      <c r="C82" s="364"/>
      <c r="D82" s="364"/>
      <c r="E82" s="365"/>
    </row>
    <row r="83" spans="2:5" ht="12.75">
      <c r="B83" s="140" t="s">
        <v>285</v>
      </c>
      <c r="C83" s="264">
        <v>133800.41</v>
      </c>
      <c r="D83" s="310">
        <v>144807.26</v>
      </c>
      <c r="E83" s="253">
        <f>D83-C83</f>
        <v>11006.850000000006</v>
      </c>
    </row>
    <row r="84" spans="2:5" ht="12.75">
      <c r="B84" s="115" t="s">
        <v>637</v>
      </c>
      <c r="C84" s="35">
        <v>73024.91</v>
      </c>
      <c r="D84" s="307">
        <v>78999.41</v>
      </c>
      <c r="E84" s="53">
        <f>D84-C84</f>
        <v>5974.5</v>
      </c>
    </row>
    <row r="85" spans="2:5" ht="13.5" thickBot="1">
      <c r="B85" s="157" t="s">
        <v>232</v>
      </c>
      <c r="C85" s="311">
        <v>19770.75</v>
      </c>
      <c r="D85" s="312">
        <v>21967.5</v>
      </c>
      <c r="E85" s="262">
        <f>D85-C85</f>
        <v>2196.75</v>
      </c>
    </row>
    <row r="86" spans="2:5" ht="13.5" thickBot="1">
      <c r="B86" s="308"/>
      <c r="C86" s="309">
        <f>SUM(C83:C85)</f>
        <v>226596.07</v>
      </c>
      <c r="D86" s="309">
        <f>SUM(D83:D85)</f>
        <v>245774.17</v>
      </c>
      <c r="E86" s="313">
        <f>D86-C86</f>
        <v>19178.100000000006</v>
      </c>
    </row>
    <row r="87" spans="2:5" ht="13.5" thickBot="1">
      <c r="B87" s="363" t="s">
        <v>1054</v>
      </c>
      <c r="C87" s="364"/>
      <c r="D87" s="364"/>
      <c r="E87" s="365"/>
    </row>
    <row r="88" spans="2:5" ht="12.75">
      <c r="B88" s="140" t="s">
        <v>285</v>
      </c>
      <c r="C88" s="234">
        <v>180519.62</v>
      </c>
      <c r="D88" s="155">
        <v>188580.84</v>
      </c>
      <c r="E88" s="44">
        <f>D88-C88</f>
        <v>8061.220000000001</v>
      </c>
    </row>
    <row r="89" spans="2:5" ht="12.75">
      <c r="B89" s="115" t="s">
        <v>637</v>
      </c>
      <c r="C89" s="10">
        <v>89437.26</v>
      </c>
      <c r="D89" s="33">
        <v>92715.37</v>
      </c>
      <c r="E89" s="45">
        <f>D89-C89</f>
        <v>3278.1100000000006</v>
      </c>
    </row>
    <row r="90" spans="2:5" ht="12.75">
      <c r="B90" s="116" t="s">
        <v>633</v>
      </c>
      <c r="C90" s="67">
        <v>18126.95</v>
      </c>
      <c r="D90" s="83">
        <v>18710.7</v>
      </c>
      <c r="E90" s="45">
        <f>D90-C90</f>
        <v>583.75</v>
      </c>
    </row>
    <row r="91" spans="2:5" ht="12.75">
      <c r="B91" s="116" t="s">
        <v>232</v>
      </c>
      <c r="C91" s="67">
        <v>30344.85</v>
      </c>
      <c r="D91" s="83">
        <v>28148.1</v>
      </c>
      <c r="E91" s="45">
        <f>D91-C91</f>
        <v>-2196.75</v>
      </c>
    </row>
    <row r="92" spans="2:5" ht="26.25" thickBot="1">
      <c r="B92" s="156" t="s">
        <v>119</v>
      </c>
      <c r="C92" s="229">
        <v>2500</v>
      </c>
      <c r="D92" s="229">
        <v>2500</v>
      </c>
      <c r="E92" s="246">
        <f>D92-C92</f>
        <v>0</v>
      </c>
    </row>
    <row r="93" spans="2:5" ht="13.5" thickBot="1">
      <c r="B93" s="153"/>
      <c r="C93" s="304">
        <f>SUM(C88:C92)</f>
        <v>320928.68</v>
      </c>
      <c r="D93" s="306">
        <f>SUM(D88:D92)</f>
        <v>330655.00999999995</v>
      </c>
      <c r="E93" s="305">
        <f>SUM(E88:E92)</f>
        <v>9726.330000000002</v>
      </c>
    </row>
    <row r="94" spans="2:5" ht="13.5" thickBot="1">
      <c r="B94" s="363" t="s">
        <v>168</v>
      </c>
      <c r="C94" s="364"/>
      <c r="D94" s="364"/>
      <c r="E94" s="365"/>
    </row>
    <row r="95" spans="2:5" ht="12.75">
      <c r="B95" s="140" t="s">
        <v>285</v>
      </c>
      <c r="C95" s="234">
        <v>188489.06</v>
      </c>
      <c r="D95" s="155">
        <v>195854.4</v>
      </c>
      <c r="E95" s="253">
        <f>D95-C95</f>
        <v>7365.3399999999965</v>
      </c>
    </row>
    <row r="96" spans="2:5" ht="12.75">
      <c r="B96" s="115" t="s">
        <v>637</v>
      </c>
      <c r="C96" s="10">
        <v>91652.44</v>
      </c>
      <c r="D96" s="34">
        <v>95225.88</v>
      </c>
      <c r="E96" s="53">
        <f>D96-C96</f>
        <v>3573.4400000000023</v>
      </c>
    </row>
    <row r="97" spans="2:5" ht="12.75">
      <c r="B97" s="116" t="s">
        <v>232</v>
      </c>
      <c r="C97" s="67">
        <v>28505.52</v>
      </c>
      <c r="D97" s="83">
        <v>28505.52</v>
      </c>
      <c r="E97" s="53">
        <f>D97-C97</f>
        <v>0</v>
      </c>
    </row>
    <row r="98" spans="2:5" ht="13.5" thickBot="1">
      <c r="B98" s="157" t="s">
        <v>633</v>
      </c>
      <c r="C98" s="247">
        <v>18090.08</v>
      </c>
      <c r="D98" s="226">
        <v>17339.4</v>
      </c>
      <c r="E98" s="262">
        <f>D98-C98</f>
        <v>-750.6800000000003</v>
      </c>
    </row>
    <row r="99" spans="2:5" ht="13.5" thickBot="1">
      <c r="B99" s="153"/>
      <c r="C99" s="304">
        <f>SUM(C95:C98)</f>
        <v>326737.10000000003</v>
      </c>
      <c r="D99" s="306">
        <f>SUM(D95:D98)</f>
        <v>336925.20000000007</v>
      </c>
      <c r="E99" s="305">
        <f>SUM(E95:E98)</f>
        <v>10188.099999999999</v>
      </c>
    </row>
    <row r="100" spans="2:5" ht="13.5" thickBot="1">
      <c r="B100" s="363" t="s">
        <v>795</v>
      </c>
      <c r="C100" s="364"/>
      <c r="D100" s="364"/>
      <c r="E100" s="365"/>
    </row>
    <row r="101" spans="2:5" ht="12.75">
      <c r="B101" s="140" t="s">
        <v>285</v>
      </c>
      <c r="C101" s="141">
        <v>264758</v>
      </c>
      <c r="D101" s="155">
        <v>252853.29</v>
      </c>
      <c r="E101" s="253">
        <f aca="true" t="shared" si="1" ref="E101:E106">D101-C101</f>
        <v>-11904.709999999992</v>
      </c>
    </row>
    <row r="102" spans="2:5" ht="12.75">
      <c r="B102" s="115" t="s">
        <v>637</v>
      </c>
      <c r="C102" s="5">
        <v>129410.41</v>
      </c>
      <c r="D102" s="33">
        <v>123330.3</v>
      </c>
      <c r="E102" s="53">
        <f t="shared" si="1"/>
        <v>-6080.110000000001</v>
      </c>
    </row>
    <row r="103" spans="2:5" ht="12.75">
      <c r="B103" s="115" t="s">
        <v>633</v>
      </c>
      <c r="C103" s="65">
        <v>33029.15</v>
      </c>
      <c r="D103" s="70">
        <v>31457.85</v>
      </c>
      <c r="E103" s="53">
        <f t="shared" si="1"/>
        <v>-1571.300000000003</v>
      </c>
    </row>
    <row r="104" spans="2:5" ht="12.75">
      <c r="B104" s="278" t="s">
        <v>792</v>
      </c>
      <c r="C104" s="122">
        <v>900</v>
      </c>
      <c r="D104" s="122">
        <v>1400</v>
      </c>
      <c r="E104" s="81">
        <f t="shared" si="1"/>
        <v>500</v>
      </c>
    </row>
    <row r="105" spans="2:5" ht="12.75">
      <c r="B105" s="115" t="s">
        <v>805</v>
      </c>
      <c r="C105" s="67">
        <v>36678.12</v>
      </c>
      <c r="D105" s="83">
        <v>36678.12</v>
      </c>
      <c r="E105" s="53">
        <f t="shared" si="1"/>
        <v>0</v>
      </c>
    </row>
    <row r="106" spans="2:5" ht="13.5" thickBot="1">
      <c r="B106" s="157" t="s">
        <v>1200</v>
      </c>
      <c r="C106" s="229">
        <v>2832.49</v>
      </c>
      <c r="D106" s="229">
        <v>2832.49</v>
      </c>
      <c r="E106" s="262">
        <f t="shared" si="1"/>
        <v>0</v>
      </c>
    </row>
    <row r="107" spans="2:5" ht="13.5" thickBot="1">
      <c r="B107" s="153"/>
      <c r="C107" s="152">
        <f>SUM(C101:C106)</f>
        <v>467608.17000000004</v>
      </c>
      <c r="D107" s="138">
        <f>SUM(D101:D106)</f>
        <v>448552.05</v>
      </c>
      <c r="E107" s="206">
        <f>SUM(E101:E106)</f>
        <v>-19056.119999999995</v>
      </c>
    </row>
    <row r="108" spans="2:5" ht="13.5" thickBot="1">
      <c r="B108" s="363" t="s">
        <v>87</v>
      </c>
      <c r="C108" s="364"/>
      <c r="D108" s="364"/>
      <c r="E108" s="365"/>
    </row>
    <row r="109" spans="2:5" ht="12.75">
      <c r="B109" s="140" t="s">
        <v>285</v>
      </c>
      <c r="C109" s="141">
        <v>218534.43</v>
      </c>
      <c r="D109" s="155">
        <v>227686.91</v>
      </c>
      <c r="E109" s="253">
        <f aca="true" t="shared" si="2" ref="E109:E115">D109-C109</f>
        <v>9152.48000000001</v>
      </c>
    </row>
    <row r="110" spans="2:5" ht="12.75">
      <c r="B110" s="115" t="s">
        <v>637</v>
      </c>
      <c r="C110" s="5">
        <v>107685.07</v>
      </c>
      <c r="D110" s="33">
        <v>113877.6</v>
      </c>
      <c r="E110" s="53">
        <f t="shared" si="2"/>
        <v>6192.529999999999</v>
      </c>
    </row>
    <row r="111" spans="2:5" ht="12.75">
      <c r="B111" s="115" t="s">
        <v>633</v>
      </c>
      <c r="C111" s="65">
        <v>26385.17</v>
      </c>
      <c r="D111" s="70">
        <v>28319.76</v>
      </c>
      <c r="E111" s="53">
        <f t="shared" si="2"/>
        <v>1934.5900000000001</v>
      </c>
    </row>
    <row r="112" spans="2:5" ht="12.75">
      <c r="B112" s="278" t="s">
        <v>792</v>
      </c>
      <c r="C112" s="122">
        <f>2400+3600</f>
        <v>6000</v>
      </c>
      <c r="D112" s="122">
        <f>2400+3300</f>
        <v>5700</v>
      </c>
      <c r="E112" s="53">
        <f t="shared" si="2"/>
        <v>-300</v>
      </c>
    </row>
    <row r="113" spans="2:5" ht="12.75">
      <c r="B113" s="115" t="s">
        <v>364</v>
      </c>
      <c r="C113" s="10">
        <v>13702.21</v>
      </c>
      <c r="D113" s="98">
        <v>15705.45</v>
      </c>
      <c r="E113" s="53">
        <f t="shared" si="2"/>
        <v>2003.2400000000016</v>
      </c>
    </row>
    <row r="114" spans="2:5" ht="25.5">
      <c r="B114" s="269" t="s">
        <v>59</v>
      </c>
      <c r="C114" s="125">
        <v>45991.74</v>
      </c>
      <c r="D114" s="125">
        <v>63545.49</v>
      </c>
      <c r="E114" s="204">
        <f t="shared" si="2"/>
        <v>17553.75</v>
      </c>
    </row>
    <row r="115" spans="2:5" ht="13.5" thickBot="1">
      <c r="B115" s="157" t="s">
        <v>805</v>
      </c>
      <c r="C115" s="225">
        <v>39198.17</v>
      </c>
      <c r="D115" s="226">
        <v>42481.25</v>
      </c>
      <c r="E115" s="262">
        <f t="shared" si="2"/>
        <v>3283.0800000000017</v>
      </c>
    </row>
    <row r="116" spans="2:5" ht="13.5" thickBot="1">
      <c r="B116" s="153"/>
      <c r="C116" s="152">
        <f>SUM(C109:C115)</f>
        <v>457496.79</v>
      </c>
      <c r="D116" s="138">
        <f>SUM(D109:D115)</f>
        <v>497316.46</v>
      </c>
      <c r="E116" s="206">
        <f>SUM(E109:E115)</f>
        <v>39819.67000000001</v>
      </c>
    </row>
    <row r="117" spans="2:5" ht="13.5" thickBot="1">
      <c r="B117" s="366" t="s">
        <v>379</v>
      </c>
      <c r="C117" s="367"/>
      <c r="D117" s="367"/>
      <c r="E117" s="368"/>
    </row>
    <row r="118" spans="2:5" ht="13.5" thickBot="1">
      <c r="B118" s="153"/>
      <c r="C118" s="117">
        <f>C86+C93+C99+C107+C116</f>
        <v>1799366.81</v>
      </c>
      <c r="D118" s="117">
        <f>D86+D93+D99+D107+D116</f>
        <v>1859222.89</v>
      </c>
      <c r="E118" s="117">
        <f>E86+E93+E99+E107+E116</f>
        <v>59856.08000000002</v>
      </c>
    </row>
  </sheetData>
  <sheetProtection/>
  <mergeCells count="23">
    <mergeCell ref="A6:E6"/>
    <mergeCell ref="A20:D20"/>
    <mergeCell ref="A21:D21"/>
    <mergeCell ref="D25:E25"/>
    <mergeCell ref="A2:B2"/>
    <mergeCell ref="C2:E2"/>
    <mergeCell ref="C3:E3"/>
    <mergeCell ref="B4:E4"/>
    <mergeCell ref="D79:E79"/>
    <mergeCell ref="D75:E75"/>
    <mergeCell ref="D76:E76"/>
    <mergeCell ref="D77:E77"/>
    <mergeCell ref="D78:E78"/>
    <mergeCell ref="D71:E71"/>
    <mergeCell ref="D72:E72"/>
    <mergeCell ref="D73:E73"/>
    <mergeCell ref="D74:E74"/>
    <mergeCell ref="B117:E117"/>
    <mergeCell ref="B108:E108"/>
    <mergeCell ref="B82:E82"/>
    <mergeCell ref="B87:E87"/>
    <mergeCell ref="B94:E94"/>
    <mergeCell ref="B100:E10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6.75390625" style="0" customWidth="1"/>
    <col min="3" max="3" width="10.2539062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1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213</v>
      </c>
      <c r="C7" s="26"/>
      <c r="D7" s="24"/>
    </row>
    <row r="8" spans="1:4" ht="15">
      <c r="A8" s="26"/>
      <c r="B8" s="27" t="s">
        <v>115</v>
      </c>
      <c r="C8" s="38">
        <v>3336.7</v>
      </c>
      <c r="D8" s="92" t="s">
        <v>116</v>
      </c>
    </row>
    <row r="9" spans="1:4" ht="15">
      <c r="A9" s="26"/>
      <c r="B9" s="27" t="s">
        <v>654</v>
      </c>
      <c r="C9" s="93">
        <v>72.9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404876.26</v>
      </c>
      <c r="D12" s="155">
        <v>414670.67</v>
      </c>
      <c r="E12" s="242">
        <f aca="true" t="shared" si="0" ref="E12:E18">D12-C12</f>
        <v>9794.409999999974</v>
      </c>
    </row>
    <row r="13" spans="1:5" ht="12.75">
      <c r="A13" s="84">
        <v>2</v>
      </c>
      <c r="B13" s="5" t="s">
        <v>637</v>
      </c>
      <c r="C13" s="10">
        <f>193844.87+941.47</f>
        <v>194786.34</v>
      </c>
      <c r="D13" s="34">
        <f>202777.32+63.74+750.29</f>
        <v>203591.35</v>
      </c>
      <c r="E13" s="57">
        <f t="shared" si="0"/>
        <v>8805.01000000001</v>
      </c>
    </row>
    <row r="14" spans="1:5" ht="12.75">
      <c r="A14" s="87">
        <v>3</v>
      </c>
      <c r="B14" s="5" t="s">
        <v>633</v>
      </c>
      <c r="C14" s="67">
        <v>29759.17</v>
      </c>
      <c r="D14" s="83">
        <v>30311.86</v>
      </c>
      <c r="E14" s="57">
        <f t="shared" si="0"/>
        <v>552.6900000000023</v>
      </c>
    </row>
    <row r="15" spans="1:5" ht="12.75">
      <c r="A15" s="84">
        <v>4</v>
      </c>
      <c r="B15" s="65" t="s">
        <v>364</v>
      </c>
      <c r="C15" s="94">
        <v>48001.43</v>
      </c>
      <c r="D15" s="83">
        <v>44820.76</v>
      </c>
      <c r="E15" s="57">
        <f t="shared" si="0"/>
        <v>-3180.6699999999983</v>
      </c>
    </row>
    <row r="16" spans="1:5" ht="12.75">
      <c r="A16" s="87">
        <v>5</v>
      </c>
      <c r="B16" s="351" t="s">
        <v>1210</v>
      </c>
      <c r="C16" s="258">
        <v>2799.38</v>
      </c>
      <c r="D16" s="258">
        <v>2799.38</v>
      </c>
      <c r="E16" s="66">
        <f t="shared" si="0"/>
        <v>0</v>
      </c>
    </row>
    <row r="17" spans="1:5" ht="12.75">
      <c r="A17" s="84">
        <v>6</v>
      </c>
      <c r="B17" s="65" t="s">
        <v>29</v>
      </c>
      <c r="C17" s="94">
        <f>2400</f>
        <v>2400</v>
      </c>
      <c r="D17" s="83">
        <f>2400</f>
        <v>2400</v>
      </c>
      <c r="E17" s="57">
        <f t="shared" si="0"/>
        <v>0</v>
      </c>
    </row>
    <row r="18" spans="1:5" ht="13.5" thickBot="1">
      <c r="A18" s="87">
        <v>7</v>
      </c>
      <c r="B18" s="5" t="s">
        <v>805</v>
      </c>
      <c r="C18" s="67">
        <f>7843.32+6063.63+3600</f>
        <v>17506.95</v>
      </c>
      <c r="D18" s="83">
        <f>7843.32+8172.84+3300</f>
        <v>19316.16</v>
      </c>
      <c r="E18" s="57">
        <f t="shared" si="0"/>
        <v>1809.2099999999991</v>
      </c>
    </row>
    <row r="19" spans="1:5" ht="13.5" thickBot="1">
      <c r="A19" s="208"/>
      <c r="B19" s="209"/>
      <c r="C19" s="135">
        <f>SUM(C12:C18)</f>
        <v>700129.53</v>
      </c>
      <c r="D19" s="135">
        <f>SUM(D12:D18)</f>
        <v>717910.18</v>
      </c>
      <c r="E19" s="136">
        <f>SUM(E12:E18)</f>
        <v>17780.649999999987</v>
      </c>
    </row>
    <row r="20" spans="1:5" ht="12.75">
      <c r="A20" s="385" t="s">
        <v>793</v>
      </c>
      <c r="B20" s="386"/>
      <c r="C20" s="386"/>
      <c r="D20" s="386"/>
      <c r="E20" s="108">
        <f>E129</f>
        <v>131928.74999999997</v>
      </c>
    </row>
    <row r="21" spans="1:5" ht="12.75">
      <c r="A21" s="387" t="s">
        <v>794</v>
      </c>
      <c r="B21" s="384"/>
      <c r="C21" s="384"/>
      <c r="D21" s="384"/>
      <c r="E21" s="259">
        <v>573907.84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368</v>
      </c>
      <c r="C24" s="80">
        <f>C63</f>
        <v>241785.79</v>
      </c>
      <c r="E24" s="29"/>
    </row>
    <row r="25" spans="1:5" ht="12.75">
      <c r="A25" s="91">
        <v>2</v>
      </c>
      <c r="B25" s="25" t="s">
        <v>344</v>
      </c>
      <c r="C25" s="102">
        <f>C71</f>
        <v>20767.58</v>
      </c>
      <c r="D25" s="388"/>
      <c r="E25" s="389"/>
    </row>
    <row r="26" spans="1:5" ht="12.75">
      <c r="A26" s="84">
        <v>3</v>
      </c>
      <c r="B26" s="9" t="s">
        <v>649</v>
      </c>
      <c r="C26" s="48">
        <v>6752.57</v>
      </c>
      <c r="E26" s="29"/>
    </row>
    <row r="27" spans="1:5" ht="12.75">
      <c r="A27" s="84">
        <v>4</v>
      </c>
      <c r="B27" s="9" t="s">
        <v>122</v>
      </c>
      <c r="C27" s="48">
        <f>(C8*0.55*12)</f>
        <v>22022.22</v>
      </c>
      <c r="E27" s="29"/>
    </row>
    <row r="28" spans="1:5" ht="12.75">
      <c r="A28" s="84">
        <v>5</v>
      </c>
      <c r="B28" s="9" t="s">
        <v>658</v>
      </c>
      <c r="C28" s="79">
        <v>61262.76</v>
      </c>
      <c r="E28" s="29"/>
    </row>
    <row r="29" spans="1:5" ht="25.5">
      <c r="A29" s="91">
        <v>6</v>
      </c>
      <c r="B29" s="25" t="s">
        <v>1128</v>
      </c>
      <c r="C29" s="96">
        <v>2400</v>
      </c>
      <c r="E29" s="29"/>
    </row>
    <row r="30" spans="1:5" ht="25.5">
      <c r="A30" s="91">
        <v>7</v>
      </c>
      <c r="B30" s="25" t="s">
        <v>335</v>
      </c>
      <c r="C30" s="96">
        <v>4200</v>
      </c>
      <c r="E30" s="29"/>
    </row>
    <row r="31" spans="1:5" ht="12.75">
      <c r="A31" s="91">
        <v>8</v>
      </c>
      <c r="B31" s="346" t="s">
        <v>798</v>
      </c>
      <c r="C31" s="79">
        <v>1516.32</v>
      </c>
      <c r="E31" s="29"/>
    </row>
    <row r="32" spans="1:5" ht="25.5">
      <c r="A32" s="91">
        <v>9</v>
      </c>
      <c r="B32" s="25" t="s">
        <v>327</v>
      </c>
      <c r="C32" s="79">
        <v>6306.8</v>
      </c>
      <c r="E32" s="29"/>
    </row>
    <row r="33" spans="1:5" ht="12.75">
      <c r="A33" s="84">
        <v>10</v>
      </c>
      <c r="B33" s="25" t="s">
        <v>1175</v>
      </c>
      <c r="C33" s="79">
        <v>7193.7</v>
      </c>
      <c r="E33" s="29"/>
    </row>
    <row r="34" spans="1:5" ht="38.25">
      <c r="A34" s="91">
        <v>11</v>
      </c>
      <c r="B34" s="25" t="s">
        <v>516</v>
      </c>
      <c r="C34" s="96">
        <v>4297.82</v>
      </c>
      <c r="E34" s="29"/>
    </row>
    <row r="35" spans="1:5" ht="12.75">
      <c r="A35" s="91">
        <v>12</v>
      </c>
      <c r="B35" s="25" t="s">
        <v>356</v>
      </c>
      <c r="C35" s="349">
        <v>600</v>
      </c>
      <c r="E35" s="29"/>
    </row>
    <row r="36" spans="1:3" ht="12.75">
      <c r="A36" s="50"/>
      <c r="B36" s="20" t="s">
        <v>629</v>
      </c>
      <c r="C36" s="51">
        <f>SUM(C24:C35)</f>
        <v>379105.56000000006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(C19)*15%</f>
        <v>105019.4295</v>
      </c>
    </row>
    <row r="39" spans="1:3" ht="12.75">
      <c r="A39" s="84">
        <v>2</v>
      </c>
      <c r="B39" s="9" t="s">
        <v>813</v>
      </c>
      <c r="C39" s="48">
        <f>C77</f>
        <v>7226.811062584135</v>
      </c>
    </row>
    <row r="40" spans="1:3" ht="12.75">
      <c r="A40" s="84">
        <v>3</v>
      </c>
      <c r="B40" s="9" t="s">
        <v>653</v>
      </c>
      <c r="C40" s="48">
        <f>C78</f>
        <v>7849.387638345632</v>
      </c>
    </row>
    <row r="41" spans="1:3" ht="12.75">
      <c r="A41" s="84">
        <v>4</v>
      </c>
      <c r="B41" s="9" t="s">
        <v>1114</v>
      </c>
      <c r="C41" s="52">
        <f>C79</f>
        <v>15934.570742950435</v>
      </c>
    </row>
    <row r="42" spans="1:3" ht="12.75">
      <c r="A42" s="84">
        <v>5</v>
      </c>
      <c r="B42" s="9" t="s">
        <v>162</v>
      </c>
      <c r="C42" s="52">
        <f>C80</f>
        <v>11897.558817945746</v>
      </c>
    </row>
    <row r="43" spans="1:3" ht="12.75">
      <c r="A43" s="84">
        <v>6</v>
      </c>
      <c r="B43" s="9" t="s">
        <v>1051</v>
      </c>
      <c r="C43" s="48">
        <f>C81+C83+C84+C85+C82</f>
        <v>20190.107016174257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168117.86477800022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C19*2%</f>
        <v>14002.590600000001</v>
      </c>
    </row>
    <row r="51" spans="1:3" ht="12.75">
      <c r="A51" s="84">
        <v>2</v>
      </c>
      <c r="B51" s="9" t="s">
        <v>391</v>
      </c>
      <c r="C51" s="48">
        <f>C52</f>
        <v>41167.616364</v>
      </c>
    </row>
    <row r="52" spans="1:4" ht="12.75">
      <c r="A52" s="49"/>
      <c r="B52" s="5" t="s">
        <v>334</v>
      </c>
      <c r="C52" s="41">
        <f>(C19-C50)*6%</f>
        <v>41167.616364</v>
      </c>
      <c r="D52" s="19"/>
    </row>
    <row r="53" spans="1:3" ht="13.5" thickBot="1">
      <c r="A53" s="54"/>
      <c r="B53" s="55" t="s">
        <v>967</v>
      </c>
      <c r="C53" s="56">
        <f>C50+C51</f>
        <v>55170.206964000005</v>
      </c>
    </row>
    <row r="54" spans="1:3" ht="12.75">
      <c r="A54" s="23"/>
      <c r="B54" s="4" t="s">
        <v>288</v>
      </c>
      <c r="C54" s="11">
        <f>C36+C48+C53</f>
        <v>602393.6317420002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">
        <v>557345.21</v>
      </c>
    </row>
    <row r="57" spans="1:3" ht="15">
      <c r="A57" s="23"/>
      <c r="B57" s="14" t="s">
        <v>180</v>
      </c>
      <c r="C57" s="11">
        <f>C54+C56-C19</f>
        <v>459609.31174200005</v>
      </c>
    </row>
    <row r="58" ht="12.75">
      <c r="B58" s="1" t="s">
        <v>85</v>
      </c>
    </row>
    <row r="59" ht="16.5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506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3409.6</v>
      </c>
      <c r="E62" t="s">
        <v>116</v>
      </c>
    </row>
    <row r="63" spans="1:5" ht="12.75">
      <c r="A63" s="60" t="s">
        <v>218</v>
      </c>
      <c r="B63" s="39" t="s">
        <v>165</v>
      </c>
      <c r="C63" s="47">
        <v>241785.79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10063.35</v>
      </c>
      <c r="D65" s="15"/>
      <c r="E65" s="15"/>
    </row>
    <row r="66" spans="1:5" ht="12.75">
      <c r="A66" s="62" t="s">
        <v>166</v>
      </c>
      <c r="B66" s="6" t="s">
        <v>341</v>
      </c>
      <c r="C66" s="41">
        <v>23443.8</v>
      </c>
      <c r="D66" s="15"/>
      <c r="E66" s="15"/>
    </row>
    <row r="67" spans="1:5" ht="12.75">
      <c r="A67" s="62" t="s">
        <v>166</v>
      </c>
      <c r="B67" s="6" t="s">
        <v>517</v>
      </c>
      <c r="C67" s="41">
        <v>2057</v>
      </c>
      <c r="D67" s="15"/>
      <c r="E67" s="15"/>
    </row>
    <row r="68" spans="1:5" ht="12.75">
      <c r="A68" s="62" t="s">
        <v>166</v>
      </c>
      <c r="B68" s="6" t="s">
        <v>277</v>
      </c>
      <c r="C68" s="41">
        <v>6000</v>
      </c>
      <c r="D68" s="15"/>
      <c r="E68" s="15"/>
    </row>
    <row r="69" spans="1:5" ht="12.75">
      <c r="A69" s="62" t="s">
        <v>166</v>
      </c>
      <c r="B69" s="6" t="s">
        <v>754</v>
      </c>
      <c r="C69" s="41">
        <v>1733.33</v>
      </c>
      <c r="D69" s="15"/>
      <c r="E69" s="15"/>
    </row>
    <row r="70" spans="1:5" ht="13.5" thickBot="1">
      <c r="A70" s="63" t="s">
        <v>166</v>
      </c>
      <c r="B70" s="42" t="s">
        <v>818</v>
      </c>
      <c r="C70" s="46">
        <v>3521.96</v>
      </c>
      <c r="D70" s="15"/>
      <c r="E70" s="15"/>
    </row>
    <row r="71" spans="1:5" ht="12.75">
      <c r="A71" s="60" t="s">
        <v>328</v>
      </c>
      <c r="B71" s="39" t="s">
        <v>343</v>
      </c>
      <c r="C71" s="47">
        <v>20767.58</v>
      </c>
      <c r="D71" s="15"/>
      <c r="E71" s="12"/>
    </row>
    <row r="72" spans="1:5" ht="12.75">
      <c r="A72" s="61"/>
      <c r="B72" s="6" t="s">
        <v>118</v>
      </c>
      <c r="C72" s="41"/>
      <c r="D72" s="15"/>
      <c r="E72" s="12"/>
    </row>
    <row r="73" spans="1:5" ht="12.75">
      <c r="A73" s="62" t="s">
        <v>166</v>
      </c>
      <c r="B73" s="6" t="s">
        <v>380</v>
      </c>
      <c r="C73" s="41">
        <v>693</v>
      </c>
      <c r="D73" s="15"/>
      <c r="E73" s="12"/>
    </row>
    <row r="74" spans="1:5" ht="13.5" thickBot="1">
      <c r="A74" s="63" t="s">
        <v>166</v>
      </c>
      <c r="B74" s="42" t="s">
        <v>818</v>
      </c>
      <c r="C74" s="46">
        <v>190.79</v>
      </c>
      <c r="D74" s="15"/>
      <c r="E74" s="15"/>
    </row>
    <row r="75" spans="1:5" ht="12.75">
      <c r="A75" s="300" t="s">
        <v>787</v>
      </c>
      <c r="B75" s="97" t="s">
        <v>1050</v>
      </c>
      <c r="C75" s="82">
        <f>C76+C77+C79+C78+C80+C81+C83+C84+C85+C82</f>
        <v>168117.8647780002</v>
      </c>
      <c r="D75" s="15"/>
      <c r="E75" s="12"/>
    </row>
    <row r="76" spans="1:5" ht="13.5" thickBot="1">
      <c r="A76" s="40" t="s">
        <v>166</v>
      </c>
      <c r="B76" s="6" t="s">
        <v>227</v>
      </c>
      <c r="C76" s="41">
        <f>C38</f>
        <v>105019.4295</v>
      </c>
      <c r="D76" s="15"/>
      <c r="E76" s="12"/>
    </row>
    <row r="77" spans="1:5" ht="12.75">
      <c r="A77" s="40" t="s">
        <v>166</v>
      </c>
      <c r="B77" s="6" t="s">
        <v>370</v>
      </c>
      <c r="C77" s="317">
        <f>401410.25/185335.63*C8</f>
        <v>7226.811062584135</v>
      </c>
      <c r="D77" s="375" t="s">
        <v>507</v>
      </c>
      <c r="E77" s="376"/>
    </row>
    <row r="78" spans="1:5" ht="12.75">
      <c r="A78" s="73" t="s">
        <v>166</v>
      </c>
      <c r="B78" s="74" t="s">
        <v>397</v>
      </c>
      <c r="C78" s="317">
        <f>435991.01/185335.63*C8</f>
        <v>7849.387638345632</v>
      </c>
      <c r="D78" s="377" t="s">
        <v>508</v>
      </c>
      <c r="E78" s="378"/>
    </row>
    <row r="79" spans="1:5" ht="12.75">
      <c r="A79" s="71" t="s">
        <v>166</v>
      </c>
      <c r="B79" s="72" t="s">
        <v>416</v>
      </c>
      <c r="C79" s="317">
        <f>1082167/226605.83*C8</f>
        <v>15934.570742950435</v>
      </c>
      <c r="D79" s="379" t="s">
        <v>509</v>
      </c>
      <c r="E79" s="380"/>
    </row>
    <row r="80" spans="1:5" ht="25.5">
      <c r="A80" s="73" t="s">
        <v>166</v>
      </c>
      <c r="B80" s="72" t="s">
        <v>231</v>
      </c>
      <c r="C80" s="318">
        <f>845684.35/242356.05*D62</f>
        <v>11897.558817945746</v>
      </c>
      <c r="D80" s="381" t="s">
        <v>510</v>
      </c>
      <c r="E80" s="382"/>
    </row>
    <row r="81" spans="1:5" ht="12.75">
      <c r="A81" s="73" t="s">
        <v>166</v>
      </c>
      <c r="B81" s="74" t="s">
        <v>808</v>
      </c>
      <c r="C81" s="318">
        <f>642562.44/242356.05*D62</f>
        <v>9039.926568468169</v>
      </c>
      <c r="D81" s="371" t="s">
        <v>511</v>
      </c>
      <c r="E81" s="372"/>
    </row>
    <row r="82" spans="1:5" ht="12.75">
      <c r="A82" s="73" t="s">
        <v>166</v>
      </c>
      <c r="B82" s="74" t="s">
        <v>826</v>
      </c>
      <c r="C82" s="318">
        <f>51615/196822.43*D62</f>
        <v>894.138457695091</v>
      </c>
      <c r="D82" s="371" t="s">
        <v>512</v>
      </c>
      <c r="E82" s="372"/>
    </row>
    <row r="83" spans="1:5" ht="12.75">
      <c r="A83" s="73" t="s">
        <v>166</v>
      </c>
      <c r="B83" s="74" t="s">
        <v>655</v>
      </c>
      <c r="C83" s="318">
        <f>129011.28/196822.43*D62</f>
        <v>2234.8919291769744</v>
      </c>
      <c r="D83" s="371" t="s">
        <v>513</v>
      </c>
      <c r="E83" s="372"/>
    </row>
    <row r="84" spans="1:5" ht="12.75">
      <c r="A84" s="73" t="s">
        <v>166</v>
      </c>
      <c r="B84" s="74" t="s">
        <v>656</v>
      </c>
      <c r="C84" s="318">
        <f>164128/196822.43*D62</f>
        <v>2843.2269066081544</v>
      </c>
      <c r="D84" s="373" t="s">
        <v>514</v>
      </c>
      <c r="E84" s="374"/>
    </row>
    <row r="85" spans="1:5" ht="13.5" thickBot="1">
      <c r="A85" s="75" t="s">
        <v>166</v>
      </c>
      <c r="B85" s="76" t="s">
        <v>809</v>
      </c>
      <c r="C85" s="319">
        <f>298900.58/196822.43*D62</f>
        <v>5177.923154225868</v>
      </c>
      <c r="D85" s="369" t="s">
        <v>515</v>
      </c>
      <c r="E85" s="370"/>
    </row>
    <row r="86" ht="13.5" thickBot="1"/>
    <row r="87" spans="2:5" ht="26.25" thickBot="1">
      <c r="B87" s="143"/>
      <c r="C87" s="205" t="s">
        <v>104</v>
      </c>
      <c r="D87" s="236" t="s">
        <v>306</v>
      </c>
      <c r="E87" s="130" t="s">
        <v>305</v>
      </c>
    </row>
    <row r="88" spans="2:5" ht="13.5" thickBot="1">
      <c r="B88" s="363" t="s">
        <v>970</v>
      </c>
      <c r="C88" s="364"/>
      <c r="D88" s="364"/>
      <c r="E88" s="365"/>
    </row>
    <row r="89" spans="2:5" ht="12.75">
      <c r="B89" s="140" t="s">
        <v>285</v>
      </c>
      <c r="C89" s="234">
        <v>229501.54</v>
      </c>
      <c r="D89" s="155">
        <v>260109.25</v>
      </c>
      <c r="E89" s="44">
        <f aca="true" t="shared" si="1" ref="E89:E94">D89-C89</f>
        <v>30607.709999999992</v>
      </c>
    </row>
    <row r="90" spans="2:5" ht="12.75">
      <c r="B90" s="115" t="s">
        <v>637</v>
      </c>
      <c r="C90" s="10">
        <v>127546.16</v>
      </c>
      <c r="D90" s="33">
        <v>143989.05</v>
      </c>
      <c r="E90" s="45">
        <f t="shared" si="1"/>
        <v>16442.889999999985</v>
      </c>
    </row>
    <row r="91" spans="2:5" ht="12.75">
      <c r="B91" s="116" t="s">
        <v>112</v>
      </c>
      <c r="C91" s="67">
        <v>5156.71</v>
      </c>
      <c r="D91" s="83">
        <v>5332.46</v>
      </c>
      <c r="E91" s="45">
        <f t="shared" si="1"/>
        <v>175.75</v>
      </c>
    </row>
    <row r="92" spans="2:5" ht="12.75">
      <c r="B92" s="116" t="s">
        <v>113</v>
      </c>
      <c r="C92" s="94">
        <v>27152.24</v>
      </c>
      <c r="D92" s="83">
        <v>31904</v>
      </c>
      <c r="E92" s="45">
        <f t="shared" si="1"/>
        <v>4751.759999999998</v>
      </c>
    </row>
    <row r="93" spans="2:5" ht="13.5" thickBot="1">
      <c r="B93" s="157" t="s">
        <v>114</v>
      </c>
      <c r="C93" s="247">
        <v>1248.36</v>
      </c>
      <c r="D93" s="226">
        <v>1248.36</v>
      </c>
      <c r="E93" s="46">
        <f t="shared" si="1"/>
        <v>0</v>
      </c>
    </row>
    <row r="94" spans="2:5" ht="13.5" thickBot="1">
      <c r="B94" s="230"/>
      <c r="C94" s="231">
        <f>SUM(C89:C93)</f>
        <v>390605.01</v>
      </c>
      <c r="D94" s="232">
        <f>SUM(D89:D93)</f>
        <v>442583.12</v>
      </c>
      <c r="E94" s="233">
        <f t="shared" si="1"/>
        <v>51978.109999999986</v>
      </c>
    </row>
    <row r="95" spans="2:5" ht="13.5" thickBot="1">
      <c r="B95" s="363" t="s">
        <v>1054</v>
      </c>
      <c r="C95" s="364"/>
      <c r="D95" s="364"/>
      <c r="E95" s="365"/>
    </row>
    <row r="96" spans="2:5" ht="12.75">
      <c r="B96" s="140" t="s">
        <v>285</v>
      </c>
      <c r="C96" s="234">
        <v>330761.38</v>
      </c>
      <c r="D96" s="155">
        <v>343643.4</v>
      </c>
      <c r="E96" s="44">
        <f>D96-C96</f>
        <v>12882.020000000019</v>
      </c>
    </row>
    <row r="97" spans="2:5" ht="12.75">
      <c r="B97" s="115" t="s">
        <v>637</v>
      </c>
      <c r="C97" s="10">
        <v>164079.38</v>
      </c>
      <c r="D97" s="34">
        <v>168952.24</v>
      </c>
      <c r="E97" s="45">
        <f>D97-C97</f>
        <v>4872.859999999986</v>
      </c>
    </row>
    <row r="98" spans="2:5" ht="12.75">
      <c r="B98" s="116" t="s">
        <v>633</v>
      </c>
      <c r="C98" s="94">
        <v>13778.45</v>
      </c>
      <c r="D98" s="83">
        <v>15365.8</v>
      </c>
      <c r="E98" s="45">
        <f>D98-C98</f>
        <v>1587.3499999999985</v>
      </c>
    </row>
    <row r="99" spans="2:5" ht="12.75">
      <c r="B99" s="116" t="s">
        <v>113</v>
      </c>
      <c r="C99" s="94">
        <v>29698.37</v>
      </c>
      <c r="D99" s="83">
        <v>28782.34</v>
      </c>
      <c r="E99" s="45">
        <f>D99-C99</f>
        <v>-916.0299999999988</v>
      </c>
    </row>
    <row r="100" spans="2:5" ht="26.25" thickBot="1">
      <c r="B100" s="156" t="s">
        <v>119</v>
      </c>
      <c r="C100" s="229">
        <v>2500</v>
      </c>
      <c r="D100" s="229">
        <v>2500</v>
      </c>
      <c r="E100" s="268">
        <f>D100-C100</f>
        <v>0</v>
      </c>
    </row>
    <row r="101" spans="2:5" ht="13.5" thickBot="1">
      <c r="B101" s="153"/>
      <c r="C101" s="152">
        <f>SUM(C96:C100)</f>
        <v>540817.5800000001</v>
      </c>
      <c r="D101" s="138">
        <f>SUM(D96:D100)</f>
        <v>559243.78</v>
      </c>
      <c r="E101" s="206">
        <f>SUM(E96:E100)</f>
        <v>18426.200000000004</v>
      </c>
    </row>
    <row r="102" spans="2:5" ht="13.5" thickBot="1">
      <c r="B102" s="363" t="s">
        <v>168</v>
      </c>
      <c r="C102" s="364"/>
      <c r="D102" s="364"/>
      <c r="E102" s="365"/>
    </row>
    <row r="103" spans="2:5" ht="12.75">
      <c r="B103" s="140" t="s">
        <v>285</v>
      </c>
      <c r="C103" s="234">
        <v>328184.12</v>
      </c>
      <c r="D103" s="218">
        <v>348612.48</v>
      </c>
      <c r="E103" s="44">
        <f>D103-C103</f>
        <v>20428.359999999986</v>
      </c>
    </row>
    <row r="104" spans="2:5" ht="12.75">
      <c r="B104" s="115" t="s">
        <v>637</v>
      </c>
      <c r="C104" s="10">
        <v>162954.69</v>
      </c>
      <c r="D104" s="98">
        <v>169498.56</v>
      </c>
      <c r="E104" s="45">
        <f>D104-C104</f>
        <v>6543.869999999995</v>
      </c>
    </row>
    <row r="105" spans="2:5" ht="12.75">
      <c r="B105" s="115" t="s">
        <v>232</v>
      </c>
      <c r="C105" s="10">
        <v>8887.45</v>
      </c>
      <c r="D105" s="98">
        <v>10609.01</v>
      </c>
      <c r="E105" s="45">
        <f>D105-C105</f>
        <v>1721.5599999999995</v>
      </c>
    </row>
    <row r="106" spans="2:5" ht="12.75">
      <c r="B106" s="115" t="s">
        <v>633</v>
      </c>
      <c r="C106" s="10">
        <v>22256.26</v>
      </c>
      <c r="D106" s="98">
        <v>23803.08</v>
      </c>
      <c r="E106" s="45">
        <f>D106-C106</f>
        <v>1546.8200000000033</v>
      </c>
    </row>
    <row r="107" spans="2:5" ht="13.5" thickBot="1">
      <c r="B107" s="157" t="s">
        <v>377</v>
      </c>
      <c r="C107" s="311">
        <v>11970</v>
      </c>
      <c r="D107" s="311">
        <v>11970</v>
      </c>
      <c r="E107" s="46">
        <f>D107-C107</f>
        <v>0</v>
      </c>
    </row>
    <row r="108" spans="2:5" ht="13.5" thickBot="1">
      <c r="B108" s="187"/>
      <c r="C108" s="254">
        <f>SUM(C103:C107)</f>
        <v>534252.52</v>
      </c>
      <c r="D108" s="254">
        <f>SUM(D103:D107)</f>
        <v>564493.1299999999</v>
      </c>
      <c r="E108" s="254">
        <f>SUM(E103:E107)</f>
        <v>30240.609999999982</v>
      </c>
    </row>
    <row r="109" spans="2:5" ht="13.5" thickBot="1">
      <c r="B109" s="363" t="s">
        <v>795</v>
      </c>
      <c r="C109" s="364"/>
      <c r="D109" s="364"/>
      <c r="E109" s="365"/>
    </row>
    <row r="110" spans="2:5" ht="12.75">
      <c r="B110" s="140" t="s">
        <v>285</v>
      </c>
      <c r="C110" s="141">
        <v>455828.54</v>
      </c>
      <c r="D110" s="155">
        <v>457926.29</v>
      </c>
      <c r="E110" s="253">
        <f aca="true" t="shared" si="2" ref="E110:E117">D110-C110</f>
        <v>2097.75</v>
      </c>
    </row>
    <row r="111" spans="2:5" ht="12.75">
      <c r="B111" s="115" t="s">
        <v>637</v>
      </c>
      <c r="C111" s="5">
        <v>216847.14</v>
      </c>
      <c r="D111" s="33">
        <v>218258.04</v>
      </c>
      <c r="E111" s="53">
        <f t="shared" si="2"/>
        <v>1410.8999999999942</v>
      </c>
    </row>
    <row r="112" spans="2:5" ht="12.75">
      <c r="B112" s="115" t="s">
        <v>633</v>
      </c>
      <c r="C112" s="65">
        <v>31855.06</v>
      </c>
      <c r="D112" s="70">
        <v>33339.23</v>
      </c>
      <c r="E112" s="53">
        <f t="shared" si="2"/>
        <v>1484.170000000002</v>
      </c>
    </row>
    <row r="113" spans="2:5" ht="12.75">
      <c r="B113" s="278" t="s">
        <v>792</v>
      </c>
      <c r="C113" s="122">
        <v>1500</v>
      </c>
      <c r="D113" s="122">
        <v>2000</v>
      </c>
      <c r="E113" s="81">
        <f t="shared" si="2"/>
        <v>500</v>
      </c>
    </row>
    <row r="114" spans="2:5" ht="12.75">
      <c r="B114" s="278" t="s">
        <v>364</v>
      </c>
      <c r="C114" s="122">
        <v>44171.75</v>
      </c>
      <c r="D114" s="122">
        <v>53582.65</v>
      </c>
      <c r="E114" s="53">
        <f t="shared" si="2"/>
        <v>9410.900000000001</v>
      </c>
    </row>
    <row r="115" spans="2:5" ht="12.75">
      <c r="B115" s="115" t="s">
        <v>805</v>
      </c>
      <c r="C115" s="67">
        <v>15035.35</v>
      </c>
      <c r="D115" s="83">
        <v>16326.94</v>
      </c>
      <c r="E115" s="53">
        <f t="shared" si="2"/>
        <v>1291.5900000000001</v>
      </c>
    </row>
    <row r="116" spans="2:5" ht="12.75">
      <c r="B116" s="116" t="s">
        <v>113</v>
      </c>
      <c r="C116" s="94">
        <v>28687.22</v>
      </c>
      <c r="D116" s="83">
        <v>25995.09</v>
      </c>
      <c r="E116" s="81">
        <f t="shared" si="2"/>
        <v>-2692.130000000001</v>
      </c>
    </row>
    <row r="117" spans="2:5" ht="13.5" thickBot="1">
      <c r="B117" s="157" t="s">
        <v>1200</v>
      </c>
      <c r="C117" s="229">
        <v>12680.08</v>
      </c>
      <c r="D117" s="229">
        <v>12680.08</v>
      </c>
      <c r="E117" s="262">
        <f t="shared" si="2"/>
        <v>0</v>
      </c>
    </row>
    <row r="118" spans="2:5" ht="13.5" thickBot="1">
      <c r="B118" s="153"/>
      <c r="C118" s="152">
        <f>SUM(C110:C117)</f>
        <v>806605.1399999999</v>
      </c>
      <c r="D118" s="138">
        <f>SUM(D110:D117)</f>
        <v>820108.3199999998</v>
      </c>
      <c r="E118" s="206">
        <f>SUM(E110:E117)</f>
        <v>13503.179999999997</v>
      </c>
    </row>
    <row r="119" spans="2:5" ht="13.5" thickBot="1">
      <c r="B119" s="363" t="s">
        <v>87</v>
      </c>
      <c r="C119" s="364"/>
      <c r="D119" s="364"/>
      <c r="E119" s="365"/>
    </row>
    <row r="120" spans="2:5" ht="12.75">
      <c r="B120" s="140" t="s">
        <v>285</v>
      </c>
      <c r="C120" s="234">
        <v>404876.26</v>
      </c>
      <c r="D120" s="155">
        <v>414670.67</v>
      </c>
      <c r="E120" s="253">
        <f aca="true" t="shared" si="3" ref="E120:E126">D120-C120</f>
        <v>9794.409999999974</v>
      </c>
    </row>
    <row r="121" spans="2:5" ht="12.75">
      <c r="B121" s="115" t="s">
        <v>637</v>
      </c>
      <c r="C121" s="10">
        <f>193844.87+941.47</f>
        <v>194786.34</v>
      </c>
      <c r="D121" s="34">
        <f>202777.32+63.74+750.29</f>
        <v>203591.35</v>
      </c>
      <c r="E121" s="53">
        <f t="shared" si="3"/>
        <v>8805.01000000001</v>
      </c>
    </row>
    <row r="122" spans="2:5" ht="12.75">
      <c r="B122" s="115" t="s">
        <v>633</v>
      </c>
      <c r="C122" s="67">
        <v>29759.17</v>
      </c>
      <c r="D122" s="83">
        <v>30311.86</v>
      </c>
      <c r="E122" s="53">
        <f t="shared" si="3"/>
        <v>552.6900000000023</v>
      </c>
    </row>
    <row r="123" spans="2:5" ht="12.75">
      <c r="B123" s="116" t="s">
        <v>364</v>
      </c>
      <c r="C123" s="94">
        <v>48001.43</v>
      </c>
      <c r="D123" s="83">
        <v>44820.76</v>
      </c>
      <c r="E123" s="53">
        <f t="shared" si="3"/>
        <v>-3180.6699999999983</v>
      </c>
    </row>
    <row r="124" spans="2:5" ht="12.75">
      <c r="B124" s="352" t="s">
        <v>1210</v>
      </c>
      <c r="C124" s="258">
        <v>2799.38</v>
      </c>
      <c r="D124" s="258">
        <v>2799.38</v>
      </c>
      <c r="E124" s="53">
        <f t="shared" si="3"/>
        <v>0</v>
      </c>
    </row>
    <row r="125" spans="2:5" ht="12.75">
      <c r="B125" s="116" t="s">
        <v>29</v>
      </c>
      <c r="C125" s="94">
        <f>2400</f>
        <v>2400</v>
      </c>
      <c r="D125" s="83">
        <f>2400</f>
        <v>2400</v>
      </c>
      <c r="E125" s="204">
        <f t="shared" si="3"/>
        <v>0</v>
      </c>
    </row>
    <row r="126" spans="2:5" ht="13.5" thickBot="1">
      <c r="B126" s="157" t="s">
        <v>805</v>
      </c>
      <c r="C126" s="225">
        <f>7843.32+6063.63+3600</f>
        <v>17506.95</v>
      </c>
      <c r="D126" s="226">
        <f>7843.32+8172.84+3300</f>
        <v>19316.16</v>
      </c>
      <c r="E126" s="262">
        <f t="shared" si="3"/>
        <v>1809.2099999999991</v>
      </c>
    </row>
    <row r="127" spans="2:5" ht="13.5" thickBot="1">
      <c r="B127" s="153"/>
      <c r="C127" s="152">
        <f>SUM(C120:C126)</f>
        <v>700129.53</v>
      </c>
      <c r="D127" s="138">
        <f>SUM(D120:D126)</f>
        <v>717910.18</v>
      </c>
      <c r="E127" s="206">
        <f>SUM(E120:E126)</f>
        <v>17780.649999999987</v>
      </c>
    </row>
    <row r="128" spans="2:5" ht="13.5" thickBot="1">
      <c r="B128" s="366" t="s">
        <v>379</v>
      </c>
      <c r="C128" s="367"/>
      <c r="D128" s="367"/>
      <c r="E128" s="368"/>
    </row>
    <row r="129" spans="2:5" ht="13.5" thickBot="1">
      <c r="B129" s="153"/>
      <c r="C129" s="117">
        <f>C94+C101+C108+C118+C127</f>
        <v>2972409.7800000003</v>
      </c>
      <c r="D129" s="117">
        <f>D94+D101+D108+D118+D127</f>
        <v>3104338.53</v>
      </c>
      <c r="E129" s="117">
        <f>E94+E101+E108+E118+E127</f>
        <v>131928.74999999997</v>
      </c>
    </row>
  </sheetData>
  <sheetProtection/>
  <mergeCells count="23">
    <mergeCell ref="B102:E102"/>
    <mergeCell ref="D81:E81"/>
    <mergeCell ref="D82:E82"/>
    <mergeCell ref="D83:E83"/>
    <mergeCell ref="D84:E84"/>
    <mergeCell ref="B109:E109"/>
    <mergeCell ref="B128:E128"/>
    <mergeCell ref="B119:E119"/>
    <mergeCell ref="D85:E85"/>
    <mergeCell ref="B88:E88"/>
    <mergeCell ref="B95:E95"/>
    <mergeCell ref="A21:D21"/>
    <mergeCell ref="D25:E25"/>
    <mergeCell ref="D77:E77"/>
    <mergeCell ref="D78:E78"/>
    <mergeCell ref="D79:E79"/>
    <mergeCell ref="D80:E80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0"/>
  <sheetViews>
    <sheetView zoomScalePageLayoutView="0" workbookViewId="0" topLeftCell="A45">
      <selection activeCell="C57" sqref="C57"/>
    </sheetView>
  </sheetViews>
  <sheetFormatPr defaultColWidth="9.00390625" defaultRowHeight="12.75"/>
  <cols>
    <col min="1" max="1" width="3.125" style="0" customWidth="1"/>
    <col min="2" max="2" width="56.875" style="0" customWidth="1"/>
    <col min="3" max="3" width="10.75390625" style="0" customWidth="1"/>
    <col min="4" max="4" width="12.125" style="0" customWidth="1"/>
    <col min="5" max="5" width="13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9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309</v>
      </c>
      <c r="C7" s="26"/>
      <c r="D7" s="24"/>
    </row>
    <row r="8" spans="1:4" ht="15">
      <c r="A8" s="26"/>
      <c r="B8" s="27" t="s">
        <v>115</v>
      </c>
      <c r="C8" s="38">
        <v>1752.6</v>
      </c>
      <c r="D8" s="92" t="s">
        <v>116</v>
      </c>
    </row>
    <row r="9" spans="1:4" ht="15">
      <c r="A9" s="26"/>
      <c r="B9" s="27" t="s">
        <v>654</v>
      </c>
      <c r="C9" s="93">
        <v>319.1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217085.17</v>
      </c>
      <c r="D12" s="155">
        <v>219016.79</v>
      </c>
      <c r="E12" s="242">
        <f>D12-C12</f>
        <v>1931.6199999999953</v>
      </c>
    </row>
    <row r="13" spans="1:5" ht="12.75">
      <c r="A13" s="84">
        <v>2</v>
      </c>
      <c r="B13" s="5" t="s">
        <v>637</v>
      </c>
      <c r="C13" s="5">
        <v>105987.65</v>
      </c>
      <c r="D13" s="33">
        <v>106523.46</v>
      </c>
      <c r="E13" s="57">
        <f>D13-C13</f>
        <v>535.8100000000122</v>
      </c>
    </row>
    <row r="14" spans="1:5" ht="12.75">
      <c r="A14" s="87">
        <v>3</v>
      </c>
      <c r="B14" s="5" t="s">
        <v>633</v>
      </c>
      <c r="C14" s="65">
        <v>9469.24</v>
      </c>
      <c r="D14" s="70">
        <v>9335.52</v>
      </c>
      <c r="E14" s="57">
        <f>D14-C14</f>
        <v>-133.71999999999935</v>
      </c>
    </row>
    <row r="15" spans="1:5" ht="12.75">
      <c r="A15" s="84">
        <v>4</v>
      </c>
      <c r="B15" s="121" t="s">
        <v>792</v>
      </c>
      <c r="C15" s="122">
        <v>2400</v>
      </c>
      <c r="D15" s="122">
        <v>2400</v>
      </c>
      <c r="E15" s="128">
        <f>D15-C15</f>
        <v>0</v>
      </c>
    </row>
    <row r="16" spans="1:5" ht="13.5" thickBot="1">
      <c r="A16" s="87">
        <v>5</v>
      </c>
      <c r="B16" s="5" t="s">
        <v>805</v>
      </c>
      <c r="C16" s="67">
        <v>67937.03</v>
      </c>
      <c r="D16" s="83">
        <v>66709.07</v>
      </c>
      <c r="E16" s="57">
        <f>D16-C16</f>
        <v>-1227.9599999999919</v>
      </c>
    </row>
    <row r="17" spans="1:5" ht="13.5" thickBot="1">
      <c r="A17" s="208"/>
      <c r="B17" s="209"/>
      <c r="C17" s="135">
        <f>SUM(C12:C16)</f>
        <v>402879.08999999997</v>
      </c>
      <c r="D17" s="135">
        <f>SUM(D12:D16)</f>
        <v>403984.84</v>
      </c>
      <c r="E17" s="136">
        <f>SUM(E12:E16)</f>
        <v>1105.7500000000164</v>
      </c>
    </row>
    <row r="18" spans="1:5" ht="12.75">
      <c r="A18" s="385" t="s">
        <v>793</v>
      </c>
      <c r="B18" s="386"/>
      <c r="C18" s="386"/>
      <c r="D18" s="386"/>
      <c r="E18" s="108">
        <f>E120</f>
        <v>42360.44000000006</v>
      </c>
    </row>
    <row r="19" spans="1:5" ht="12.75">
      <c r="A19" s="387" t="s">
        <v>794</v>
      </c>
      <c r="B19" s="384"/>
      <c r="C19" s="384"/>
      <c r="D19" s="384"/>
      <c r="E19" s="22">
        <v>136051.42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12.75">
      <c r="A22" s="86">
        <v>1</v>
      </c>
      <c r="B22" s="64" t="s">
        <v>417</v>
      </c>
      <c r="C22" s="80">
        <f>C59</f>
        <v>154056.15</v>
      </c>
      <c r="E22" s="29"/>
    </row>
    <row r="23" spans="1:5" ht="12.75">
      <c r="A23" s="91">
        <v>2</v>
      </c>
      <c r="B23" s="25" t="s">
        <v>344</v>
      </c>
      <c r="C23" s="102">
        <f>C63</f>
        <v>8886.77</v>
      </c>
      <c r="D23" s="388"/>
      <c r="E23" s="389"/>
    </row>
    <row r="24" spans="1:5" ht="12.75">
      <c r="A24" s="84">
        <v>3</v>
      </c>
      <c r="B24" s="9" t="s">
        <v>649</v>
      </c>
      <c r="C24" s="48">
        <v>6149.79</v>
      </c>
      <c r="E24" s="29"/>
    </row>
    <row r="25" spans="1:5" ht="12.75">
      <c r="A25" s="84">
        <v>4</v>
      </c>
      <c r="B25" s="9" t="s">
        <v>122</v>
      </c>
      <c r="C25" s="48">
        <f>(C8*0.55*12)</f>
        <v>11567.16</v>
      </c>
      <c r="E25" s="29"/>
    </row>
    <row r="26" spans="1:5" ht="12.75">
      <c r="A26" s="84">
        <v>5</v>
      </c>
      <c r="B26" s="9" t="s">
        <v>658</v>
      </c>
      <c r="C26" s="79">
        <v>23017.8</v>
      </c>
      <c r="E26" s="29"/>
    </row>
    <row r="27" spans="1:5" ht="25.5">
      <c r="A27" s="91">
        <v>6</v>
      </c>
      <c r="B27" s="25" t="s">
        <v>441</v>
      </c>
      <c r="C27" s="96">
        <v>1029.38</v>
      </c>
      <c r="E27" s="29"/>
    </row>
    <row r="28" spans="1:5" ht="12.75">
      <c r="A28" s="91">
        <v>7</v>
      </c>
      <c r="B28" s="346" t="s">
        <v>337</v>
      </c>
      <c r="C28" s="96">
        <v>600</v>
      </c>
      <c r="E28" s="29"/>
    </row>
    <row r="29" spans="1:5" ht="25.5">
      <c r="A29" s="91">
        <v>8</v>
      </c>
      <c r="B29" s="346" t="s">
        <v>175</v>
      </c>
      <c r="C29" s="96">
        <v>819.54</v>
      </c>
      <c r="E29" s="29"/>
    </row>
    <row r="30" spans="1:5" ht="25.5">
      <c r="A30" s="91">
        <v>9</v>
      </c>
      <c r="B30" s="25" t="s">
        <v>327</v>
      </c>
      <c r="C30" s="96">
        <v>718.5</v>
      </c>
      <c r="E30" s="29"/>
    </row>
    <row r="31" spans="1:5" ht="12.75">
      <c r="A31" s="84">
        <v>10</v>
      </c>
      <c r="B31" s="147" t="s">
        <v>363</v>
      </c>
      <c r="C31" s="79">
        <v>29136.2</v>
      </c>
      <c r="E31" s="29"/>
    </row>
    <row r="32" spans="1:3" ht="12.75">
      <c r="A32" s="50"/>
      <c r="B32" s="20" t="s">
        <v>629</v>
      </c>
      <c r="C32" s="51">
        <f>SUM(C22:C31)</f>
        <v>235981.29</v>
      </c>
    </row>
    <row r="33" spans="1:3" ht="12.75">
      <c r="A33" s="49"/>
      <c r="B33" s="8" t="s">
        <v>965</v>
      </c>
      <c r="C33" s="45"/>
    </row>
    <row r="34" spans="1:3" ht="12.75">
      <c r="A34" s="84">
        <v>1</v>
      </c>
      <c r="B34" s="9" t="s">
        <v>228</v>
      </c>
      <c r="C34" s="48">
        <f>(C17)*15%</f>
        <v>60431.86349999999</v>
      </c>
    </row>
    <row r="35" spans="1:3" ht="12.75">
      <c r="A35" s="84">
        <v>2</v>
      </c>
      <c r="B35" s="9" t="s">
        <v>813</v>
      </c>
      <c r="C35" s="48">
        <f>C69</f>
        <v>3795.8788828138445</v>
      </c>
    </row>
    <row r="36" spans="1:3" ht="12.75">
      <c r="A36" s="84">
        <v>3</v>
      </c>
      <c r="B36" s="9" t="s">
        <v>653</v>
      </c>
      <c r="C36" s="48">
        <f>C70</f>
        <v>4122.886916703495</v>
      </c>
    </row>
    <row r="37" spans="1:3" ht="12.75">
      <c r="A37" s="84">
        <v>4</v>
      </c>
      <c r="B37" s="9" t="s">
        <v>1114</v>
      </c>
      <c r="C37" s="52">
        <f>C71</f>
        <v>8369.62528369195</v>
      </c>
    </row>
    <row r="38" spans="1:3" ht="12.75">
      <c r="A38" s="84">
        <v>5</v>
      </c>
      <c r="B38" s="9" t="s">
        <v>162</v>
      </c>
      <c r="C38" s="52">
        <f>C72</f>
        <v>7229.051091957474</v>
      </c>
    </row>
    <row r="39" spans="1:3" ht="12.75">
      <c r="A39" s="84">
        <v>6</v>
      </c>
      <c r="B39" s="9" t="s">
        <v>1051</v>
      </c>
      <c r="C39" s="48">
        <f>C73+C75+C76+C77+C74</f>
        <v>12093.900463280826</v>
      </c>
    </row>
    <row r="40" spans="1:3" ht="12.75">
      <c r="A40" s="49"/>
      <c r="B40" s="74" t="s">
        <v>809</v>
      </c>
      <c r="C40" s="53"/>
    </row>
    <row r="41" spans="1:3" ht="12.75">
      <c r="A41" s="49"/>
      <c r="B41" s="5" t="s">
        <v>655</v>
      </c>
      <c r="C41" s="53"/>
    </row>
    <row r="42" spans="1:3" ht="12.75">
      <c r="A42" s="49"/>
      <c r="B42" s="74" t="s">
        <v>656</v>
      </c>
      <c r="C42" s="53"/>
    </row>
    <row r="43" spans="1:3" ht="12.75">
      <c r="A43" s="49"/>
      <c r="B43" s="74" t="s">
        <v>808</v>
      </c>
      <c r="C43" s="53"/>
    </row>
    <row r="44" spans="1:3" ht="12.75">
      <c r="A44" s="50"/>
      <c r="B44" s="20" t="s">
        <v>629</v>
      </c>
      <c r="C44" s="51">
        <f>C34+C35+C36+C37+C38+C39</f>
        <v>96043.20613844757</v>
      </c>
    </row>
    <row r="45" spans="1:3" ht="12.75">
      <c r="A45" s="49"/>
      <c r="B45" s="7" t="s">
        <v>966</v>
      </c>
      <c r="C45" s="45"/>
    </row>
    <row r="46" spans="1:3" ht="12.75">
      <c r="A46" s="84">
        <v>1</v>
      </c>
      <c r="B46" s="9" t="s">
        <v>631</v>
      </c>
      <c r="C46" s="48">
        <f>C17*2%</f>
        <v>8057.5818</v>
      </c>
    </row>
    <row r="47" spans="1:3" ht="12.75">
      <c r="A47" s="84">
        <v>2</v>
      </c>
      <c r="B47" s="9" t="s">
        <v>391</v>
      </c>
      <c r="C47" s="48">
        <f>C48</f>
        <v>23689.290491999996</v>
      </c>
    </row>
    <row r="48" spans="1:4" ht="12.75">
      <c r="A48" s="49"/>
      <c r="B48" s="5" t="s">
        <v>334</v>
      </c>
      <c r="C48" s="41">
        <f>(C17-C46)*6%</f>
        <v>23689.290491999996</v>
      </c>
      <c r="D48" s="19"/>
    </row>
    <row r="49" spans="1:3" ht="13.5" thickBot="1">
      <c r="A49" s="54"/>
      <c r="B49" s="55" t="s">
        <v>967</v>
      </c>
      <c r="C49" s="56">
        <f>C46+C47</f>
        <v>31746.872291999996</v>
      </c>
    </row>
    <row r="50" spans="1:3" ht="12.75">
      <c r="A50" s="23"/>
      <c r="B50" s="4" t="s">
        <v>288</v>
      </c>
      <c r="C50" s="11">
        <f>C32+C44+C49</f>
        <v>363771.36843044753</v>
      </c>
    </row>
    <row r="51" spans="1:3" ht="12.75">
      <c r="A51" s="23"/>
      <c r="B51" s="77"/>
      <c r="C51" s="1"/>
    </row>
    <row r="52" spans="1:3" ht="15">
      <c r="A52" s="23"/>
      <c r="B52" s="14" t="s">
        <v>812</v>
      </c>
      <c r="C52" s="1">
        <v>123644.13</v>
      </c>
    </row>
    <row r="53" spans="1:3" ht="15">
      <c r="A53" s="23"/>
      <c r="B53" s="14" t="s">
        <v>180</v>
      </c>
      <c r="C53" s="11">
        <f>C50+C52-C17</f>
        <v>84536.40843044757</v>
      </c>
    </row>
    <row r="54" ht="12.75">
      <c r="B54" s="1" t="s">
        <v>85</v>
      </c>
    </row>
    <row r="55" ht="20.25" customHeight="1">
      <c r="B55" s="1" t="s">
        <v>1197</v>
      </c>
    </row>
    <row r="56" spans="1:4" ht="12.75">
      <c r="A56" s="2"/>
      <c r="B56" s="2"/>
      <c r="C56" s="2" t="s">
        <v>790</v>
      </c>
      <c r="D56" s="2"/>
    </row>
    <row r="57" spans="1:4" ht="12.75">
      <c r="A57" s="2"/>
      <c r="B57" s="2"/>
      <c r="C57" s="2" t="s">
        <v>174</v>
      </c>
      <c r="D57" s="2"/>
    </row>
    <row r="58" spans="1:5" ht="13.5" thickBot="1">
      <c r="A58" s="37"/>
      <c r="B58" s="37" t="s">
        <v>969</v>
      </c>
      <c r="C58" s="32" t="s">
        <v>886</v>
      </c>
      <c r="D58" s="114">
        <f>C8+C9</f>
        <v>2071.7</v>
      </c>
      <c r="E58" t="s">
        <v>116</v>
      </c>
    </row>
    <row r="59" spans="1:5" ht="12.75">
      <c r="A59" s="60" t="s">
        <v>218</v>
      </c>
      <c r="B59" s="39" t="s">
        <v>286</v>
      </c>
      <c r="C59" s="47">
        <v>154056.15</v>
      </c>
      <c r="D59" s="15"/>
      <c r="E59" s="21"/>
    </row>
    <row r="60" spans="1:5" ht="12.75">
      <c r="A60" s="61"/>
      <c r="B60" s="6" t="s">
        <v>118</v>
      </c>
      <c r="C60" s="41"/>
      <c r="D60" s="15"/>
      <c r="E60" s="21"/>
    </row>
    <row r="61" spans="1:5" ht="12.75">
      <c r="A61" s="62" t="s">
        <v>166</v>
      </c>
      <c r="B61" s="6" t="s">
        <v>380</v>
      </c>
      <c r="C61" s="41">
        <v>0</v>
      </c>
      <c r="D61" s="15"/>
      <c r="E61" s="15"/>
    </row>
    <row r="62" spans="1:5" ht="13.5" thickBot="1">
      <c r="A62" s="62" t="s">
        <v>166</v>
      </c>
      <c r="B62" s="6" t="s">
        <v>210</v>
      </c>
      <c r="C62" s="41">
        <v>11975.81</v>
      </c>
      <c r="D62" s="15"/>
      <c r="E62" s="15"/>
    </row>
    <row r="63" spans="1:5" ht="12.75">
      <c r="A63" s="60" t="s">
        <v>328</v>
      </c>
      <c r="B63" s="39" t="s">
        <v>343</v>
      </c>
      <c r="C63" s="47">
        <v>8886.77</v>
      </c>
      <c r="D63" s="15"/>
      <c r="E63" s="12"/>
    </row>
    <row r="64" spans="1:5" ht="12.75">
      <c r="A64" s="61"/>
      <c r="B64" s="6" t="s">
        <v>118</v>
      </c>
      <c r="C64" s="41"/>
      <c r="D64" s="15"/>
      <c r="E64" s="12"/>
    </row>
    <row r="65" spans="1:5" ht="12.75">
      <c r="A65" s="62" t="s">
        <v>166</v>
      </c>
      <c r="B65" s="6" t="s">
        <v>380</v>
      </c>
      <c r="C65" s="41">
        <v>1033</v>
      </c>
      <c r="D65" s="15"/>
      <c r="E65" s="12"/>
    </row>
    <row r="66" spans="1:5" ht="13.5" thickBot="1">
      <c r="A66" s="63" t="s">
        <v>166</v>
      </c>
      <c r="B66" s="42" t="s">
        <v>818</v>
      </c>
      <c r="C66" s="46">
        <v>100.21</v>
      </c>
      <c r="D66" s="15"/>
      <c r="E66" s="15"/>
    </row>
    <row r="67" spans="1:5" ht="12.75">
      <c r="A67" s="300" t="s">
        <v>787</v>
      </c>
      <c r="B67" s="97" t="s">
        <v>1050</v>
      </c>
      <c r="C67" s="82">
        <f>C68+C69+C71+C70+C72+C73+C75+C76+C77+C74</f>
        <v>96043.20613844757</v>
      </c>
      <c r="D67" s="15"/>
      <c r="E67" s="12"/>
    </row>
    <row r="68" spans="1:5" ht="13.5" thickBot="1">
      <c r="A68" s="40" t="s">
        <v>166</v>
      </c>
      <c r="B68" s="6" t="s">
        <v>227</v>
      </c>
      <c r="C68" s="41">
        <f>C34</f>
        <v>60431.86349999999</v>
      </c>
      <c r="D68" s="15"/>
      <c r="E68" s="12"/>
    </row>
    <row r="69" spans="1:5" ht="12.75">
      <c r="A69" s="40" t="s">
        <v>166</v>
      </c>
      <c r="B69" s="6" t="s">
        <v>370</v>
      </c>
      <c r="C69" s="317">
        <f>401410.25/185335.63*C8</f>
        <v>3795.8788828138445</v>
      </c>
      <c r="D69" s="375" t="s">
        <v>176</v>
      </c>
      <c r="E69" s="376"/>
    </row>
    <row r="70" spans="1:5" ht="12.75">
      <c r="A70" s="73" t="s">
        <v>166</v>
      </c>
      <c r="B70" s="74" t="s">
        <v>397</v>
      </c>
      <c r="C70" s="317">
        <f>435991.01/185335.63*C8</f>
        <v>4122.886916703495</v>
      </c>
      <c r="D70" s="377" t="s">
        <v>177</v>
      </c>
      <c r="E70" s="378"/>
    </row>
    <row r="71" spans="1:5" ht="12.75">
      <c r="A71" s="71" t="s">
        <v>166</v>
      </c>
      <c r="B71" s="72" t="s">
        <v>416</v>
      </c>
      <c r="C71" s="317">
        <f>1082167/226605.83*C8</f>
        <v>8369.62528369195</v>
      </c>
      <c r="D71" s="379" t="s">
        <v>178</v>
      </c>
      <c r="E71" s="380"/>
    </row>
    <row r="72" spans="1:5" ht="25.5">
      <c r="A72" s="73" t="s">
        <v>166</v>
      </c>
      <c r="B72" s="72" t="s">
        <v>231</v>
      </c>
      <c r="C72" s="318">
        <f>845684.35/242356.05*D58</f>
        <v>7229.051091957474</v>
      </c>
      <c r="D72" s="381" t="s">
        <v>179</v>
      </c>
      <c r="E72" s="382"/>
    </row>
    <row r="73" spans="1:5" ht="12.75">
      <c r="A73" s="73" t="s">
        <v>166</v>
      </c>
      <c r="B73" s="74" t="s">
        <v>808</v>
      </c>
      <c r="C73" s="318">
        <f>622234.26/242356.05*D58</f>
        <v>5318.962396201787</v>
      </c>
      <c r="D73" s="371" t="s">
        <v>181</v>
      </c>
      <c r="E73" s="372"/>
    </row>
    <row r="74" spans="1:5" ht="12.75">
      <c r="A74" s="73" t="s">
        <v>166</v>
      </c>
      <c r="B74" s="74" t="s">
        <v>826</v>
      </c>
      <c r="C74" s="318">
        <f>51615/196822.43*D58</f>
        <v>543.2856179044228</v>
      </c>
      <c r="D74" s="371" t="s">
        <v>182</v>
      </c>
      <c r="E74" s="372"/>
    </row>
    <row r="75" spans="1:5" ht="12.75">
      <c r="A75" s="73" t="s">
        <v>166</v>
      </c>
      <c r="B75" s="74" t="s">
        <v>655</v>
      </c>
      <c r="C75" s="318">
        <f>129011.28/196822.43*D58</f>
        <v>1357.9380600879686</v>
      </c>
      <c r="D75" s="371" t="s">
        <v>183</v>
      </c>
      <c r="E75" s="372"/>
    </row>
    <row r="76" spans="1:5" ht="12.75">
      <c r="A76" s="73" t="s">
        <v>166</v>
      </c>
      <c r="B76" s="74" t="s">
        <v>656</v>
      </c>
      <c r="C76" s="318">
        <f>164128/196822.43*D58</f>
        <v>1727.5672168055235</v>
      </c>
      <c r="D76" s="373" t="s">
        <v>184</v>
      </c>
      <c r="E76" s="374"/>
    </row>
    <row r="77" spans="1:5" ht="13.5" thickBot="1">
      <c r="A77" s="75" t="s">
        <v>166</v>
      </c>
      <c r="B77" s="76" t="s">
        <v>809</v>
      </c>
      <c r="C77" s="319">
        <f>298900.58/196822.43*D58</f>
        <v>3146.1471722811266</v>
      </c>
      <c r="D77" s="369" t="s">
        <v>185</v>
      </c>
      <c r="E77" s="370"/>
    </row>
    <row r="78" ht="13.5" thickBot="1"/>
    <row r="79" spans="2:5" ht="26.25" thickBot="1">
      <c r="B79" s="143"/>
      <c r="C79" s="205" t="s">
        <v>104</v>
      </c>
      <c r="D79" s="236" t="s">
        <v>306</v>
      </c>
      <c r="E79" s="130" t="s">
        <v>305</v>
      </c>
    </row>
    <row r="80" spans="2:5" ht="13.5" thickBot="1">
      <c r="B80" s="363" t="s">
        <v>970</v>
      </c>
      <c r="C80" s="364"/>
      <c r="D80" s="364"/>
      <c r="E80" s="365"/>
    </row>
    <row r="81" spans="2:5" ht="12.75">
      <c r="B81" s="140" t="s">
        <v>285</v>
      </c>
      <c r="C81" s="234">
        <v>126360.99</v>
      </c>
      <c r="D81" s="155">
        <v>152113.6</v>
      </c>
      <c r="E81" s="44">
        <f aca="true" t="shared" si="0" ref="E81:E87">D81-C81</f>
        <v>25752.61</v>
      </c>
    </row>
    <row r="82" spans="2:5" ht="12.75">
      <c r="B82" s="115" t="s">
        <v>637</v>
      </c>
      <c r="C82" s="10">
        <v>70586.37</v>
      </c>
      <c r="D82" s="33">
        <v>84278.66</v>
      </c>
      <c r="E82" s="45">
        <f t="shared" si="0"/>
        <v>13692.290000000008</v>
      </c>
    </row>
    <row r="83" spans="2:5" ht="12.75">
      <c r="B83" s="116" t="s">
        <v>799</v>
      </c>
      <c r="C83" s="67">
        <v>3225.94</v>
      </c>
      <c r="D83" s="83">
        <v>4296.7</v>
      </c>
      <c r="E83" s="45">
        <f t="shared" si="0"/>
        <v>1070.7599999999998</v>
      </c>
    </row>
    <row r="84" spans="2:5" ht="12.75">
      <c r="B84" s="116" t="s">
        <v>113</v>
      </c>
      <c r="C84" s="94">
        <v>10668.63</v>
      </c>
      <c r="D84" s="83">
        <v>13117.95</v>
      </c>
      <c r="E84" s="45">
        <f t="shared" si="0"/>
        <v>2449.3200000000015</v>
      </c>
    </row>
    <row r="85" spans="2:5" ht="12.75">
      <c r="B85" s="116" t="s">
        <v>377</v>
      </c>
      <c r="C85" s="94">
        <v>2210</v>
      </c>
      <c r="D85" s="83">
        <v>1105</v>
      </c>
      <c r="E85" s="45">
        <f t="shared" si="0"/>
        <v>-1105</v>
      </c>
    </row>
    <row r="86" spans="2:5" ht="13.5" thickBot="1">
      <c r="B86" s="157" t="s">
        <v>232</v>
      </c>
      <c r="C86" s="247">
        <v>9061.12</v>
      </c>
      <c r="D86" s="226">
        <v>9061.12</v>
      </c>
      <c r="E86" s="46">
        <f t="shared" si="0"/>
        <v>0</v>
      </c>
    </row>
    <row r="87" spans="2:5" ht="13.5" thickBot="1">
      <c r="B87" s="230"/>
      <c r="C87" s="231">
        <f>SUM(C81:C86)</f>
        <v>222113.05</v>
      </c>
      <c r="D87" s="232">
        <f>SUM(D81:D86)</f>
        <v>263973.03</v>
      </c>
      <c r="E87" s="233">
        <f t="shared" si="0"/>
        <v>41859.98000000004</v>
      </c>
    </row>
    <row r="88" spans="2:5" ht="13.5" thickBot="1">
      <c r="B88" s="363" t="s">
        <v>1054</v>
      </c>
      <c r="C88" s="364"/>
      <c r="D88" s="364"/>
      <c r="E88" s="365"/>
    </row>
    <row r="89" spans="2:5" ht="12.75">
      <c r="B89" s="140" t="s">
        <v>285</v>
      </c>
      <c r="C89" s="234">
        <v>195921.37</v>
      </c>
      <c r="D89" s="155">
        <v>200945.5</v>
      </c>
      <c r="E89" s="44">
        <f aca="true" t="shared" si="1" ref="E89:E94">D89-C89</f>
        <v>5024.130000000005</v>
      </c>
    </row>
    <row r="90" spans="2:5" ht="12.75">
      <c r="B90" s="115" t="s">
        <v>637</v>
      </c>
      <c r="C90" s="10">
        <v>97559.82</v>
      </c>
      <c r="D90" s="34">
        <v>98841.71</v>
      </c>
      <c r="E90" s="45">
        <f t="shared" si="1"/>
        <v>1281.8899999999994</v>
      </c>
    </row>
    <row r="91" spans="2:5" ht="12.75">
      <c r="B91" s="116" t="s">
        <v>232</v>
      </c>
      <c r="C91" s="67">
        <v>52408.69</v>
      </c>
      <c r="D91" s="83">
        <v>53309.78</v>
      </c>
      <c r="E91" s="45">
        <f t="shared" si="1"/>
        <v>901.0899999999965</v>
      </c>
    </row>
    <row r="92" spans="2:5" ht="12.75">
      <c r="B92" s="116" t="s">
        <v>377</v>
      </c>
      <c r="C92" s="94">
        <v>12155</v>
      </c>
      <c r="D92" s="83">
        <v>13260</v>
      </c>
      <c r="E92" s="45">
        <f t="shared" si="1"/>
        <v>1105</v>
      </c>
    </row>
    <row r="93" spans="2:5" ht="12.75">
      <c r="B93" s="116" t="s">
        <v>633</v>
      </c>
      <c r="C93" s="94">
        <v>8403.09</v>
      </c>
      <c r="D93" s="83">
        <v>8704</v>
      </c>
      <c r="E93" s="45">
        <f t="shared" si="1"/>
        <v>300.90999999999985</v>
      </c>
    </row>
    <row r="94" spans="2:5" ht="26.25" thickBot="1">
      <c r="B94" s="156" t="s">
        <v>119</v>
      </c>
      <c r="C94" s="229">
        <v>2500</v>
      </c>
      <c r="D94" s="229">
        <v>2500</v>
      </c>
      <c r="E94" s="246">
        <f t="shared" si="1"/>
        <v>0</v>
      </c>
    </row>
    <row r="95" spans="2:5" ht="13.5" thickBot="1">
      <c r="B95" s="153"/>
      <c r="C95" s="152">
        <f>SUM(C89:C94)</f>
        <v>368947.97000000003</v>
      </c>
      <c r="D95" s="138">
        <f>SUM(D89:D94)</f>
        <v>377560.99</v>
      </c>
      <c r="E95" s="206">
        <f>SUM(E89:E94)</f>
        <v>8613.02</v>
      </c>
    </row>
    <row r="96" spans="2:5" ht="13.5" thickBot="1">
      <c r="B96" s="363" t="s">
        <v>168</v>
      </c>
      <c r="C96" s="364"/>
      <c r="D96" s="364"/>
      <c r="E96" s="365"/>
    </row>
    <row r="97" spans="2:5" ht="12.75">
      <c r="B97" s="140" t="s">
        <v>285</v>
      </c>
      <c r="C97" s="234">
        <v>199383.93</v>
      </c>
      <c r="D97" s="155">
        <v>201121.38</v>
      </c>
      <c r="E97" s="44">
        <f>D97-C97</f>
        <v>1737.4500000000116</v>
      </c>
    </row>
    <row r="98" spans="2:5" ht="12.75">
      <c r="B98" s="115" t="s">
        <v>637</v>
      </c>
      <c r="C98" s="10">
        <v>96965.07</v>
      </c>
      <c r="D98" s="34">
        <v>97786.6</v>
      </c>
      <c r="E98" s="45">
        <f>D98-C98</f>
        <v>821.5299999999988</v>
      </c>
    </row>
    <row r="99" spans="2:5" ht="12.75">
      <c r="B99" s="116" t="s">
        <v>232</v>
      </c>
      <c r="C99" s="67">
        <v>6376.2</v>
      </c>
      <c r="D99" s="83">
        <v>5046.18</v>
      </c>
      <c r="E99" s="45">
        <f>D99-C99</f>
        <v>-1330.0199999999995</v>
      </c>
    </row>
    <row r="100" spans="2:5" ht="12.75">
      <c r="B100" s="116" t="s">
        <v>377</v>
      </c>
      <c r="C100" s="94">
        <v>14365</v>
      </c>
      <c r="D100" s="83">
        <v>14365</v>
      </c>
      <c r="E100" s="45">
        <f>D100-C100</f>
        <v>0</v>
      </c>
    </row>
    <row r="101" spans="2:5" ht="13.5" thickBot="1">
      <c r="B101" s="157" t="s">
        <v>633</v>
      </c>
      <c r="C101" s="247">
        <v>9035.51</v>
      </c>
      <c r="D101" s="226">
        <v>9373.5</v>
      </c>
      <c r="E101" s="46">
        <f>D101-C101</f>
        <v>337.9899999999998</v>
      </c>
    </row>
    <row r="102" spans="2:5" ht="13.5" thickBot="1">
      <c r="B102" s="153"/>
      <c r="C102" s="152">
        <f>SUM(C97:C101)</f>
        <v>326125.71</v>
      </c>
      <c r="D102" s="138">
        <f>SUM(D97:D101)</f>
        <v>327692.66</v>
      </c>
      <c r="E102" s="206">
        <f>SUM(E97:E101)</f>
        <v>1566.9500000000107</v>
      </c>
    </row>
    <row r="103" spans="2:5" ht="13.5" thickBot="1">
      <c r="B103" s="363" t="s">
        <v>795</v>
      </c>
      <c r="C103" s="364"/>
      <c r="D103" s="364"/>
      <c r="E103" s="365"/>
    </row>
    <row r="104" spans="2:5" ht="12.75">
      <c r="B104" s="140" t="s">
        <v>285</v>
      </c>
      <c r="C104" s="141">
        <v>243960.41</v>
      </c>
      <c r="D104" s="155">
        <v>238233.02</v>
      </c>
      <c r="E104" s="253">
        <f aca="true" t="shared" si="2" ref="E104:E110">D104-C104</f>
        <v>-5727.390000000014</v>
      </c>
    </row>
    <row r="105" spans="2:5" ht="12.75">
      <c r="B105" s="115" t="s">
        <v>637</v>
      </c>
      <c r="C105" s="5">
        <v>119055.11</v>
      </c>
      <c r="D105" s="33">
        <v>115843.34</v>
      </c>
      <c r="E105" s="53">
        <f t="shared" si="2"/>
        <v>-3211.770000000004</v>
      </c>
    </row>
    <row r="106" spans="2:5" ht="12.75">
      <c r="B106" s="115" t="s">
        <v>633</v>
      </c>
      <c r="C106" s="65">
        <v>10855.18</v>
      </c>
      <c r="D106" s="70">
        <v>10389.98</v>
      </c>
      <c r="E106" s="53">
        <f t="shared" si="2"/>
        <v>-465.2000000000007</v>
      </c>
    </row>
    <row r="107" spans="2:5" ht="12.75">
      <c r="B107" s="278" t="s">
        <v>792</v>
      </c>
      <c r="C107" s="122">
        <v>600</v>
      </c>
      <c r="D107" s="122">
        <v>800</v>
      </c>
      <c r="E107" s="53">
        <f t="shared" si="2"/>
        <v>200</v>
      </c>
    </row>
    <row r="108" spans="2:5" ht="12.75">
      <c r="B108" s="115" t="s">
        <v>805</v>
      </c>
      <c r="C108" s="122">
        <v>99675.2</v>
      </c>
      <c r="D108" s="122">
        <v>98094.3</v>
      </c>
      <c r="E108" s="81">
        <f t="shared" si="2"/>
        <v>-1580.8999999999942</v>
      </c>
    </row>
    <row r="109" spans="2:5" ht="12.75">
      <c r="B109" s="116" t="s">
        <v>377</v>
      </c>
      <c r="C109" s="94">
        <v>4420</v>
      </c>
      <c r="D109" s="83">
        <v>4420</v>
      </c>
      <c r="E109" s="53">
        <f t="shared" si="2"/>
        <v>0</v>
      </c>
    </row>
    <row r="110" spans="2:5" ht="13.5" thickBot="1">
      <c r="B110" s="157" t="s">
        <v>1200</v>
      </c>
      <c r="C110" s="229">
        <v>13354.87</v>
      </c>
      <c r="D110" s="229">
        <v>13354.87</v>
      </c>
      <c r="E110" s="262">
        <f t="shared" si="2"/>
        <v>0</v>
      </c>
    </row>
    <row r="111" spans="2:5" ht="13.5" thickBot="1">
      <c r="B111" s="153"/>
      <c r="C111" s="152">
        <f>SUM(C104:C110)</f>
        <v>491920.77</v>
      </c>
      <c r="D111" s="138">
        <f>SUM(D104:D110)</f>
        <v>481135.50999999995</v>
      </c>
      <c r="E111" s="206">
        <f>SUM(E104:E110)</f>
        <v>-10785.260000000013</v>
      </c>
    </row>
    <row r="112" spans="2:5" ht="13.5" thickBot="1">
      <c r="B112" s="363" t="s">
        <v>87</v>
      </c>
      <c r="C112" s="364"/>
      <c r="D112" s="364"/>
      <c r="E112" s="365"/>
    </row>
    <row r="113" spans="2:5" ht="12.75">
      <c r="B113" s="140" t="s">
        <v>285</v>
      </c>
      <c r="C113" s="141">
        <v>217085.17</v>
      </c>
      <c r="D113" s="155">
        <v>219016.79</v>
      </c>
      <c r="E113" s="253">
        <f>D113-C113</f>
        <v>1931.6199999999953</v>
      </c>
    </row>
    <row r="114" spans="2:5" ht="12.75">
      <c r="B114" s="115" t="s">
        <v>637</v>
      </c>
      <c r="C114" s="5">
        <v>105987.65</v>
      </c>
      <c r="D114" s="33">
        <v>106523.46</v>
      </c>
      <c r="E114" s="53">
        <f>D114-C114</f>
        <v>535.8100000000122</v>
      </c>
    </row>
    <row r="115" spans="2:5" ht="12.75">
      <c r="B115" s="115" t="s">
        <v>633</v>
      </c>
      <c r="C115" s="65">
        <v>9469.24</v>
      </c>
      <c r="D115" s="70">
        <v>9335.52</v>
      </c>
      <c r="E115" s="53">
        <f>D115-C115</f>
        <v>-133.71999999999935</v>
      </c>
    </row>
    <row r="116" spans="2:5" ht="12.75">
      <c r="B116" s="278" t="s">
        <v>792</v>
      </c>
      <c r="C116" s="122">
        <v>2400</v>
      </c>
      <c r="D116" s="122">
        <v>2400</v>
      </c>
      <c r="E116" s="81">
        <f>D116-C116</f>
        <v>0</v>
      </c>
    </row>
    <row r="117" spans="2:5" ht="13.5" thickBot="1">
      <c r="B117" s="157" t="s">
        <v>805</v>
      </c>
      <c r="C117" s="225">
        <v>67937.03</v>
      </c>
      <c r="D117" s="226">
        <v>66709.07</v>
      </c>
      <c r="E117" s="262">
        <f>D117-C117</f>
        <v>-1227.9599999999919</v>
      </c>
    </row>
    <row r="118" spans="2:5" ht="13.5" thickBot="1">
      <c r="B118" s="153"/>
      <c r="C118" s="152">
        <f>SUM(C113:C117)</f>
        <v>402879.08999999997</v>
      </c>
      <c r="D118" s="138">
        <f>SUM(D113:D117)</f>
        <v>403984.84</v>
      </c>
      <c r="E118" s="206">
        <f>SUM(E113:E117)</f>
        <v>1105.7500000000164</v>
      </c>
    </row>
    <row r="119" spans="2:5" ht="13.5" thickBot="1">
      <c r="B119" s="366" t="s">
        <v>379</v>
      </c>
      <c r="C119" s="367"/>
      <c r="D119" s="367"/>
      <c r="E119" s="368"/>
    </row>
    <row r="120" spans="2:5" ht="13.5" thickBot="1">
      <c r="B120" s="153"/>
      <c r="C120" s="117">
        <f>C87+C95+C102+C111+C118</f>
        <v>1811986.5899999999</v>
      </c>
      <c r="D120" s="117">
        <f>D87+D95+D102+D111+D118</f>
        <v>1854347.03</v>
      </c>
      <c r="E120" s="117">
        <f>E87+E95+E102+E111+E118</f>
        <v>42360.44000000006</v>
      </c>
    </row>
  </sheetData>
  <sheetProtection/>
  <mergeCells count="23">
    <mergeCell ref="A2:B2"/>
    <mergeCell ref="C2:E2"/>
    <mergeCell ref="C3:E3"/>
    <mergeCell ref="B4:E4"/>
    <mergeCell ref="B80:E80"/>
    <mergeCell ref="B88:E88"/>
    <mergeCell ref="A6:E6"/>
    <mergeCell ref="A18:D18"/>
    <mergeCell ref="A19:D19"/>
    <mergeCell ref="D23:E23"/>
    <mergeCell ref="B119:E119"/>
    <mergeCell ref="B112:E112"/>
    <mergeCell ref="B96:E96"/>
    <mergeCell ref="B103:E103"/>
    <mergeCell ref="D77:E77"/>
    <mergeCell ref="D73:E73"/>
    <mergeCell ref="D74:E74"/>
    <mergeCell ref="D75:E75"/>
    <mergeCell ref="D76:E76"/>
    <mergeCell ref="D69:E69"/>
    <mergeCell ref="D70:E70"/>
    <mergeCell ref="D71:E71"/>
    <mergeCell ref="D72:E72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75390625" style="0" customWidth="1"/>
    <col min="2" max="2" width="57.125" style="0" customWidth="1"/>
    <col min="3" max="3" width="11.75390625" style="0" customWidth="1"/>
    <col min="4" max="4" width="12.625" style="0" customWidth="1"/>
    <col min="5" max="5" width="13.3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788</v>
      </c>
      <c r="C7" s="26"/>
      <c r="D7" s="24"/>
    </row>
    <row r="8" spans="1:4" ht="15">
      <c r="A8" s="26"/>
      <c r="B8" s="27" t="s">
        <v>115</v>
      </c>
      <c r="C8" s="38">
        <v>3693.9</v>
      </c>
      <c r="D8" s="92" t="s">
        <v>116</v>
      </c>
    </row>
    <row r="9" spans="1:4" ht="15">
      <c r="A9" s="26"/>
      <c r="B9" s="27" t="s">
        <v>654</v>
      </c>
      <c r="C9" s="93">
        <v>96.7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450813.53</v>
      </c>
      <c r="D12" s="218">
        <v>454837.22</v>
      </c>
      <c r="E12" s="242">
        <f aca="true" t="shared" si="0" ref="E12:E18">D12-C12</f>
        <v>4023.689999999944</v>
      </c>
    </row>
    <row r="13" spans="1:5" ht="12.75">
      <c r="A13" s="84">
        <v>2</v>
      </c>
      <c r="B13" s="5" t="s">
        <v>637</v>
      </c>
      <c r="C13" s="10">
        <v>221740.3</v>
      </c>
      <c r="D13" s="98">
        <v>224516.47</v>
      </c>
      <c r="E13" s="57">
        <f t="shared" si="0"/>
        <v>2776.170000000013</v>
      </c>
    </row>
    <row r="14" spans="1:5" ht="12.75">
      <c r="A14" s="84">
        <v>3</v>
      </c>
      <c r="B14" s="5" t="s">
        <v>364</v>
      </c>
      <c r="C14" s="10">
        <v>58145.67</v>
      </c>
      <c r="D14" s="98">
        <v>52006.67</v>
      </c>
      <c r="E14" s="57">
        <f t="shared" si="0"/>
        <v>-6139</v>
      </c>
    </row>
    <row r="15" spans="1:5" ht="12.75">
      <c r="A15" s="84">
        <v>4</v>
      </c>
      <c r="B15" s="5" t="s">
        <v>633</v>
      </c>
      <c r="C15" s="10">
        <v>80575.82</v>
      </c>
      <c r="D15" s="98">
        <v>82316.38</v>
      </c>
      <c r="E15" s="57">
        <f t="shared" si="0"/>
        <v>1740.5599999999977</v>
      </c>
    </row>
    <row r="16" spans="1:5" ht="12.75">
      <c r="A16" s="84">
        <v>5</v>
      </c>
      <c r="B16" s="5" t="s">
        <v>1061</v>
      </c>
      <c r="C16" s="10">
        <f>3500+2400+3600</f>
        <v>9500</v>
      </c>
      <c r="D16" s="98">
        <f>4200+2400+3300</f>
        <v>9900</v>
      </c>
      <c r="E16" s="57">
        <f t="shared" si="0"/>
        <v>400</v>
      </c>
    </row>
    <row r="17" spans="1:5" ht="12.75">
      <c r="A17" s="84">
        <v>6</v>
      </c>
      <c r="B17" s="5" t="s">
        <v>805</v>
      </c>
      <c r="C17" s="125">
        <v>23280.54</v>
      </c>
      <c r="D17" s="125">
        <v>28342.8</v>
      </c>
      <c r="E17" s="57">
        <f t="shared" si="0"/>
        <v>5062.259999999998</v>
      </c>
    </row>
    <row r="18" spans="1:5" ht="12.75" customHeight="1" thickBot="1">
      <c r="A18" s="261">
        <v>7</v>
      </c>
      <c r="B18" s="276" t="s">
        <v>1088</v>
      </c>
      <c r="C18" s="142">
        <v>5953.4</v>
      </c>
      <c r="D18" s="142">
        <v>5953.4</v>
      </c>
      <c r="E18" s="222">
        <f t="shared" si="0"/>
        <v>0</v>
      </c>
    </row>
    <row r="19" spans="1:5" ht="13.5" thickBot="1">
      <c r="A19" s="250"/>
      <c r="B19" s="251"/>
      <c r="C19" s="118">
        <f>SUM(C12:C18)</f>
        <v>850009.2600000001</v>
      </c>
      <c r="D19" s="118">
        <f>SUM(D12:D18)</f>
        <v>857872.9400000001</v>
      </c>
      <c r="E19" s="137">
        <f>SUM(E12:E18)</f>
        <v>7863.679999999953</v>
      </c>
    </row>
    <row r="20" spans="1:5" ht="12.75">
      <c r="A20" s="385" t="s">
        <v>793</v>
      </c>
      <c r="B20" s="386"/>
      <c r="C20" s="386"/>
      <c r="D20" s="386"/>
      <c r="E20" s="108">
        <f>E141</f>
        <v>22418.89999999999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12.75">
      <c r="A23" s="86">
        <v>1</v>
      </c>
      <c r="B23" s="64" t="s">
        <v>446</v>
      </c>
      <c r="C23" s="80">
        <f>C60</f>
        <v>511933.08</v>
      </c>
      <c r="E23" s="29"/>
    </row>
    <row r="24" spans="1:5" ht="12.75">
      <c r="A24" s="91">
        <v>2</v>
      </c>
      <c r="B24" s="25" t="s">
        <v>344</v>
      </c>
      <c r="C24" s="102">
        <f>C71</f>
        <v>52389.76</v>
      </c>
      <c r="D24" s="388"/>
      <c r="E24" s="389"/>
    </row>
    <row r="25" spans="1:5" ht="12.75">
      <c r="A25" s="84">
        <v>3</v>
      </c>
      <c r="B25" s="9" t="s">
        <v>649</v>
      </c>
      <c r="C25" s="48">
        <v>1929.21</v>
      </c>
      <c r="E25" s="29"/>
    </row>
    <row r="26" spans="1:5" ht="12.75">
      <c r="A26" s="84">
        <v>4</v>
      </c>
      <c r="B26" s="9" t="s">
        <v>122</v>
      </c>
      <c r="C26" s="48">
        <f>(C8*0.55*12)</f>
        <v>24379.74</v>
      </c>
      <c r="E26" s="29"/>
    </row>
    <row r="27" spans="1:5" ht="12.75">
      <c r="A27" s="84">
        <v>5</v>
      </c>
      <c r="B27" s="9" t="s">
        <v>658</v>
      </c>
      <c r="C27" s="79">
        <v>55596.84</v>
      </c>
      <c r="E27" s="29"/>
    </row>
    <row r="28" spans="1:5" ht="12.75">
      <c r="A28" s="91">
        <v>6</v>
      </c>
      <c r="B28" s="25" t="s">
        <v>61</v>
      </c>
      <c r="C28" s="96">
        <v>2400</v>
      </c>
      <c r="E28" s="29"/>
    </row>
    <row r="29" spans="1:5" ht="25.5">
      <c r="A29" s="91">
        <v>7</v>
      </c>
      <c r="B29" s="25" t="s">
        <v>678</v>
      </c>
      <c r="C29" s="96">
        <v>8000</v>
      </c>
      <c r="E29" s="29"/>
    </row>
    <row r="30" spans="1:5" ht="12.75">
      <c r="A30" s="91">
        <v>8</v>
      </c>
      <c r="B30" s="346" t="s">
        <v>26</v>
      </c>
      <c r="C30" s="96">
        <v>600</v>
      </c>
      <c r="E30" s="29"/>
    </row>
    <row r="31" spans="1:5" ht="25.5">
      <c r="A31" s="91">
        <v>9</v>
      </c>
      <c r="B31" s="25" t="s">
        <v>60</v>
      </c>
      <c r="C31" s="96">
        <v>10700</v>
      </c>
      <c r="E31" s="29"/>
    </row>
    <row r="32" spans="1:5" ht="12.75">
      <c r="A32" s="91">
        <v>10</v>
      </c>
      <c r="B32" s="25" t="s">
        <v>1093</v>
      </c>
      <c r="C32" s="96">
        <v>4702.5</v>
      </c>
      <c r="E32" s="29"/>
    </row>
    <row r="33" spans="1:3" ht="12.75">
      <c r="A33" s="50"/>
      <c r="B33" s="20" t="s">
        <v>629</v>
      </c>
      <c r="C33" s="51">
        <f>SUM(C23:C32)</f>
        <v>672631.1299999999</v>
      </c>
    </row>
    <row r="34" spans="1:3" ht="12.75">
      <c r="A34" s="49"/>
      <c r="B34" s="8" t="s">
        <v>965</v>
      </c>
      <c r="C34" s="45"/>
    </row>
    <row r="35" spans="1:3" ht="12.75">
      <c r="A35" s="84">
        <v>1</v>
      </c>
      <c r="B35" s="9" t="s">
        <v>228</v>
      </c>
      <c r="C35" s="48">
        <f>(C19)*15%</f>
        <v>127501.38900000001</v>
      </c>
    </row>
    <row r="36" spans="1:3" ht="12.75">
      <c r="A36" s="84">
        <v>2</v>
      </c>
      <c r="B36" s="9" t="s">
        <v>813</v>
      </c>
      <c r="C36" s="48">
        <f>C79</f>
        <v>8000.454755920381</v>
      </c>
    </row>
    <row r="37" spans="1:3" ht="12.75">
      <c r="A37" s="84">
        <v>3</v>
      </c>
      <c r="B37" s="9" t="s">
        <v>653</v>
      </c>
      <c r="C37" s="48">
        <f>C80</f>
        <v>8689.67932306918</v>
      </c>
    </row>
    <row r="38" spans="1:3" ht="12.75">
      <c r="A38" s="84">
        <v>4</v>
      </c>
      <c r="B38" s="9" t="s">
        <v>1114</v>
      </c>
      <c r="C38" s="52">
        <f>C81</f>
        <v>17640.396459790994</v>
      </c>
    </row>
    <row r="39" spans="1:3" ht="12.75">
      <c r="A39" s="84">
        <v>5</v>
      </c>
      <c r="B39" s="9" t="s">
        <v>162</v>
      </c>
      <c r="C39" s="52">
        <f>C82</f>
        <v>13227.031456858618</v>
      </c>
    </row>
    <row r="40" spans="1:3" ht="12.75">
      <c r="A40" s="84">
        <v>6</v>
      </c>
      <c r="B40" s="9" t="s">
        <v>1051</v>
      </c>
      <c r="C40" s="48">
        <f>C83+C85+C86+C87+C84</f>
        <v>22446.216463957688</v>
      </c>
    </row>
    <row r="41" spans="1:3" ht="12.75">
      <c r="A41" s="49"/>
      <c r="B41" s="74" t="s">
        <v>809</v>
      </c>
      <c r="C41" s="53"/>
    </row>
    <row r="42" spans="1:3" ht="12.75">
      <c r="A42" s="49"/>
      <c r="B42" s="5" t="s">
        <v>655</v>
      </c>
      <c r="C42" s="53"/>
    </row>
    <row r="43" spans="1:3" ht="12.75">
      <c r="A43" s="49"/>
      <c r="B43" s="74" t="s">
        <v>656</v>
      </c>
      <c r="C43" s="53"/>
    </row>
    <row r="44" spans="1:3" ht="12.75">
      <c r="A44" s="49"/>
      <c r="B44" s="74" t="s">
        <v>808</v>
      </c>
      <c r="C44" s="53"/>
    </row>
    <row r="45" spans="1:3" ht="12.75">
      <c r="A45" s="50"/>
      <c r="B45" s="20" t="s">
        <v>629</v>
      </c>
      <c r="C45" s="51">
        <f>C35+C36+C37+C38+C39+C40</f>
        <v>197505.16745959685</v>
      </c>
    </row>
    <row r="46" spans="1:3" ht="12.75">
      <c r="A46" s="49"/>
      <c r="B46" s="7" t="s">
        <v>966</v>
      </c>
      <c r="C46" s="45"/>
    </row>
    <row r="47" spans="1:3" ht="12.75">
      <c r="A47" s="84">
        <v>1</v>
      </c>
      <c r="B47" s="9" t="s">
        <v>631</v>
      </c>
      <c r="C47" s="48">
        <f>C19*2%</f>
        <v>17000.185200000004</v>
      </c>
    </row>
    <row r="48" spans="1:3" ht="12.75">
      <c r="A48" s="84">
        <v>2</v>
      </c>
      <c r="B48" s="9" t="s">
        <v>391</v>
      </c>
      <c r="C48" s="48">
        <f>C49</f>
        <v>49980.54448800001</v>
      </c>
    </row>
    <row r="49" spans="1:4" ht="12.75">
      <c r="A49" s="49"/>
      <c r="B49" s="5" t="s">
        <v>334</v>
      </c>
      <c r="C49" s="41">
        <f>(C19-C47)*6%</f>
        <v>49980.54448800001</v>
      </c>
      <c r="D49" s="19"/>
    </row>
    <row r="50" spans="1:3" ht="13.5" thickBot="1">
      <c r="A50" s="54"/>
      <c r="B50" s="55" t="s">
        <v>967</v>
      </c>
      <c r="C50" s="56">
        <f>C47+C48</f>
        <v>66980.729688</v>
      </c>
    </row>
    <row r="51" spans="1:3" ht="12.75">
      <c r="A51" s="23"/>
      <c r="B51" s="4" t="s">
        <v>288</v>
      </c>
      <c r="C51" s="11">
        <f>C33+C45+C50</f>
        <v>937117.0271475968</v>
      </c>
    </row>
    <row r="52" spans="1:3" ht="12.75">
      <c r="A52" s="23"/>
      <c r="B52" s="77"/>
      <c r="C52" s="1"/>
    </row>
    <row r="53" spans="1:3" ht="15">
      <c r="A53" s="23"/>
      <c r="B53" s="14" t="s">
        <v>975</v>
      </c>
      <c r="C53" s="11">
        <v>293968.53</v>
      </c>
    </row>
    <row r="54" spans="1:3" ht="15">
      <c r="A54" s="23"/>
      <c r="B54" s="14" t="s">
        <v>94</v>
      </c>
      <c r="C54" s="11">
        <f>C19+C53-C51</f>
        <v>206860.76285240322</v>
      </c>
    </row>
    <row r="55" ht="12.75">
      <c r="B55" s="1" t="s">
        <v>85</v>
      </c>
    </row>
    <row r="56" ht="14.25" customHeight="1">
      <c r="B56" s="1" t="s">
        <v>1197</v>
      </c>
    </row>
    <row r="57" spans="1:4" ht="12.75">
      <c r="A57" s="2"/>
      <c r="B57" s="2"/>
      <c r="C57" s="2" t="s">
        <v>790</v>
      </c>
      <c r="D57" s="2"/>
    </row>
    <row r="58" spans="1:4" ht="12.75">
      <c r="A58" s="2"/>
      <c r="B58" s="2"/>
      <c r="C58" s="2" t="s">
        <v>1198</v>
      </c>
      <c r="D58" s="2"/>
    </row>
    <row r="59" spans="1:5" ht="13.5" thickBot="1">
      <c r="A59" s="37"/>
      <c r="B59" s="37" t="s">
        <v>969</v>
      </c>
      <c r="C59" s="32" t="s">
        <v>886</v>
      </c>
      <c r="D59" s="114">
        <f>C8+C9</f>
        <v>3790.6</v>
      </c>
      <c r="E59" t="s">
        <v>116</v>
      </c>
    </row>
    <row r="60" spans="1:5" ht="12.75">
      <c r="A60" s="60" t="s">
        <v>218</v>
      </c>
      <c r="B60" s="39" t="s">
        <v>832</v>
      </c>
      <c r="C60" s="47">
        <v>511933.08</v>
      </c>
      <c r="D60" s="15"/>
      <c r="E60" s="21"/>
    </row>
    <row r="61" spans="1:5" ht="12.75">
      <c r="A61" s="61"/>
      <c r="B61" s="6" t="s">
        <v>118</v>
      </c>
      <c r="C61" s="41"/>
      <c r="D61" s="15"/>
      <c r="E61" s="21"/>
    </row>
    <row r="62" spans="1:5" ht="12.75">
      <c r="A62" s="62" t="s">
        <v>166</v>
      </c>
      <c r="B62" s="6" t="s">
        <v>380</v>
      </c>
      <c r="C62" s="41">
        <v>12578.02</v>
      </c>
      <c r="D62" s="15"/>
      <c r="E62" s="15"/>
    </row>
    <row r="63" spans="1:5" ht="12.75">
      <c r="A63" s="62" t="s">
        <v>166</v>
      </c>
      <c r="B63" s="6" t="s">
        <v>677</v>
      </c>
      <c r="C63" s="41">
        <v>11194.82</v>
      </c>
      <c r="D63" s="15"/>
      <c r="E63" s="15"/>
    </row>
    <row r="64" spans="1:5" ht="12.75">
      <c r="A64" s="62" t="s">
        <v>166</v>
      </c>
      <c r="B64" s="6" t="s">
        <v>229</v>
      </c>
      <c r="C64" s="41">
        <v>19349.7</v>
      </c>
      <c r="D64" s="15"/>
      <c r="E64" s="15"/>
    </row>
    <row r="65" spans="1:5" ht="12.75">
      <c r="A65" s="62" t="s">
        <v>166</v>
      </c>
      <c r="B65" s="6" t="s">
        <v>341</v>
      </c>
      <c r="C65" s="41">
        <v>27759.01</v>
      </c>
      <c r="D65" s="15"/>
      <c r="E65" s="15"/>
    </row>
    <row r="66" spans="1:5" ht="12.75">
      <c r="A66" s="62" t="s">
        <v>166</v>
      </c>
      <c r="B66" s="6" t="s">
        <v>369</v>
      </c>
      <c r="C66" s="41">
        <v>75193.31</v>
      </c>
      <c r="D66" s="15"/>
      <c r="E66" s="15"/>
    </row>
    <row r="67" spans="1:5" ht="12.75">
      <c r="A67" s="62" t="s">
        <v>166</v>
      </c>
      <c r="B67" s="6" t="s">
        <v>634</v>
      </c>
      <c r="C67" s="41">
        <v>118766.99</v>
      </c>
      <c r="D67" s="15"/>
      <c r="E67" s="15"/>
    </row>
    <row r="68" spans="1:5" ht="12.75">
      <c r="A68" s="62" t="s">
        <v>166</v>
      </c>
      <c r="B68" s="6" t="s">
        <v>277</v>
      </c>
      <c r="C68" s="41">
        <v>4662.5</v>
      </c>
      <c r="D68" s="15"/>
      <c r="E68" s="15"/>
    </row>
    <row r="69" spans="1:5" ht="12.75">
      <c r="A69" s="62" t="s">
        <v>166</v>
      </c>
      <c r="B69" s="6" t="s">
        <v>680</v>
      </c>
      <c r="C69" s="41">
        <v>1800</v>
      </c>
      <c r="D69" s="15"/>
      <c r="E69" s="15"/>
    </row>
    <row r="70" spans="1:5" ht="13.5" thickBot="1">
      <c r="A70" s="63" t="s">
        <v>166</v>
      </c>
      <c r="B70" s="42" t="s">
        <v>818</v>
      </c>
      <c r="C70" s="46">
        <v>251.72</v>
      </c>
      <c r="D70" s="15"/>
      <c r="E70" s="15"/>
    </row>
    <row r="71" spans="1:5" ht="12.75">
      <c r="A71" s="60" t="s">
        <v>328</v>
      </c>
      <c r="B71" s="39" t="s">
        <v>343</v>
      </c>
      <c r="C71" s="47">
        <v>52389.76</v>
      </c>
      <c r="D71" s="15"/>
      <c r="E71" s="12"/>
    </row>
    <row r="72" spans="1:5" ht="12.75">
      <c r="A72" s="61"/>
      <c r="B72" s="6" t="s">
        <v>118</v>
      </c>
      <c r="C72" s="41"/>
      <c r="D72" s="15"/>
      <c r="E72" s="12"/>
    </row>
    <row r="73" spans="1:5" ht="12.75">
      <c r="A73" s="62" t="s">
        <v>166</v>
      </c>
      <c r="B73" s="6" t="s">
        <v>380</v>
      </c>
      <c r="C73" s="41">
        <v>1109</v>
      </c>
      <c r="D73" s="15"/>
      <c r="E73" s="12"/>
    </row>
    <row r="74" spans="1:5" ht="12.75">
      <c r="A74" s="62" t="s">
        <v>166</v>
      </c>
      <c r="B74" s="6" t="s">
        <v>1056</v>
      </c>
      <c r="C74" s="41">
        <v>16708.58</v>
      </c>
      <c r="D74" s="15"/>
      <c r="E74" s="12"/>
    </row>
    <row r="75" spans="1:5" ht="12.75">
      <c r="A75" s="62" t="s">
        <v>166</v>
      </c>
      <c r="B75" s="6" t="s">
        <v>679</v>
      </c>
      <c r="C75" s="41">
        <v>21814.64</v>
      </c>
      <c r="D75" s="15"/>
      <c r="E75" s="12"/>
    </row>
    <row r="76" spans="1:5" ht="13.5" thickBot="1">
      <c r="A76" s="63" t="s">
        <v>166</v>
      </c>
      <c r="B76" s="42" t="s">
        <v>818</v>
      </c>
      <c r="C76" s="46">
        <v>211.22</v>
      </c>
      <c r="D76" s="15"/>
      <c r="E76" s="15"/>
    </row>
    <row r="77" spans="1:5" ht="12.75">
      <c r="A77" s="300" t="s">
        <v>787</v>
      </c>
      <c r="B77" s="97" t="s">
        <v>1050</v>
      </c>
      <c r="C77" s="82">
        <f>C78+C79+C81+C80+C82+C83+C85+C86+C87+C84</f>
        <v>197505.16745959685</v>
      </c>
      <c r="D77" s="15"/>
      <c r="E77" s="12"/>
    </row>
    <row r="78" spans="1:5" ht="13.5" thickBot="1">
      <c r="A78" s="40" t="s">
        <v>166</v>
      </c>
      <c r="B78" s="6" t="s">
        <v>227</v>
      </c>
      <c r="C78" s="41">
        <f>C35</f>
        <v>127501.38900000001</v>
      </c>
      <c r="D78" s="15"/>
      <c r="E78" s="12"/>
    </row>
    <row r="79" spans="1:5" ht="12.75">
      <c r="A79" s="40" t="s">
        <v>166</v>
      </c>
      <c r="B79" s="6" t="s">
        <v>370</v>
      </c>
      <c r="C79" s="317">
        <f>401410.25/185335.63*C8</f>
        <v>8000.454755920381</v>
      </c>
      <c r="D79" s="375" t="s">
        <v>667</v>
      </c>
      <c r="E79" s="376"/>
    </row>
    <row r="80" spans="1:5" ht="12.75">
      <c r="A80" s="73" t="s">
        <v>166</v>
      </c>
      <c r="B80" s="74" t="s">
        <v>397</v>
      </c>
      <c r="C80" s="317">
        <f>435991.01/185335.63*C8</f>
        <v>8689.67932306918</v>
      </c>
      <c r="D80" s="377" t="s">
        <v>668</v>
      </c>
      <c r="E80" s="378"/>
    </row>
    <row r="81" spans="1:5" ht="12.75">
      <c r="A81" s="71" t="s">
        <v>166</v>
      </c>
      <c r="B81" s="72" t="s">
        <v>416</v>
      </c>
      <c r="C81" s="317">
        <f>1082167/226605.83*C8</f>
        <v>17640.396459790994</v>
      </c>
      <c r="D81" s="379" t="s">
        <v>669</v>
      </c>
      <c r="E81" s="380"/>
    </row>
    <row r="82" spans="1:5" ht="25.5">
      <c r="A82" s="73" t="s">
        <v>166</v>
      </c>
      <c r="B82" s="72" t="s">
        <v>676</v>
      </c>
      <c r="C82" s="318">
        <f>845684.35/242356.05*D59</f>
        <v>13227.031456858618</v>
      </c>
      <c r="D82" s="381" t="s">
        <v>670</v>
      </c>
      <c r="E82" s="382"/>
    </row>
    <row r="83" spans="1:5" ht="12.75">
      <c r="A83" s="73" t="s">
        <v>166</v>
      </c>
      <c r="B83" s="74" t="s">
        <v>808</v>
      </c>
      <c r="C83" s="318">
        <f>642562.44/242356.05*D59</f>
        <v>10050.077912492796</v>
      </c>
      <c r="D83" s="371" t="s">
        <v>675</v>
      </c>
      <c r="E83" s="372"/>
    </row>
    <row r="84" spans="1:5" ht="12.75">
      <c r="A84" s="73" t="s">
        <v>166</v>
      </c>
      <c r="B84" s="74" t="s">
        <v>826</v>
      </c>
      <c r="C84" s="318">
        <f>51615/196822.43*D59</f>
        <v>994.052451237392</v>
      </c>
      <c r="D84" s="371" t="s">
        <v>671</v>
      </c>
      <c r="E84" s="372"/>
    </row>
    <row r="85" spans="1:5" ht="12.75">
      <c r="A85" s="73" t="s">
        <v>166</v>
      </c>
      <c r="B85" s="74" t="s">
        <v>655</v>
      </c>
      <c r="C85" s="318">
        <f>129011.28/196822.43*D59</f>
        <v>2484.6261575370245</v>
      </c>
      <c r="D85" s="371" t="s">
        <v>672</v>
      </c>
      <c r="E85" s="372"/>
    </row>
    <row r="86" spans="1:5" ht="12.75">
      <c r="A86" s="73" t="s">
        <v>166</v>
      </c>
      <c r="B86" s="74" t="s">
        <v>656</v>
      </c>
      <c r="C86" s="318">
        <f>164128/196822.43*D59</f>
        <v>3160.938500759288</v>
      </c>
      <c r="D86" s="373" t="s">
        <v>673</v>
      </c>
      <c r="E86" s="374"/>
    </row>
    <row r="87" spans="1:5" ht="13.5" thickBot="1">
      <c r="A87" s="75" t="s">
        <v>166</v>
      </c>
      <c r="B87" s="76" t="s">
        <v>809</v>
      </c>
      <c r="C87" s="319">
        <f>298900.58/196822.43*D59</f>
        <v>5756.521441931186</v>
      </c>
      <c r="D87" s="369" t="s">
        <v>674</v>
      </c>
      <c r="E87" s="370"/>
    </row>
    <row r="88" ht="13.5" thickBot="1"/>
    <row r="89" spans="2:5" ht="24.75" thickBot="1">
      <c r="B89" s="143"/>
      <c r="C89" s="205" t="s">
        <v>104</v>
      </c>
      <c r="D89" s="236" t="s">
        <v>306</v>
      </c>
      <c r="E89" s="130" t="s">
        <v>305</v>
      </c>
    </row>
    <row r="90" spans="2:5" ht="13.5" thickBot="1">
      <c r="B90" s="363" t="s">
        <v>8</v>
      </c>
      <c r="C90" s="364"/>
      <c r="D90" s="364"/>
      <c r="E90" s="365"/>
    </row>
    <row r="91" spans="2:5" ht="12.75">
      <c r="B91" s="140" t="s">
        <v>285</v>
      </c>
      <c r="C91" s="141">
        <v>287316.11</v>
      </c>
      <c r="D91" s="218">
        <v>309121.59</v>
      </c>
      <c r="E91" s="44">
        <f>D91-C91</f>
        <v>21805.48000000004</v>
      </c>
    </row>
    <row r="92" spans="2:5" ht="12.75">
      <c r="B92" s="115" t="s">
        <v>637</v>
      </c>
      <c r="C92" s="5">
        <v>138508.79</v>
      </c>
      <c r="D92" s="99">
        <v>149460.51</v>
      </c>
      <c r="E92" s="45">
        <f>D92-C92</f>
        <v>10951.720000000001</v>
      </c>
    </row>
    <row r="93" spans="2:5" ht="12.75">
      <c r="B93" s="115" t="s">
        <v>633</v>
      </c>
      <c r="C93" s="5">
        <v>24779.39</v>
      </c>
      <c r="D93" s="99">
        <v>36811.16</v>
      </c>
      <c r="E93" s="45">
        <f>D93-C93</f>
        <v>12031.770000000004</v>
      </c>
    </row>
    <row r="94" spans="2:5" ht="12.75">
      <c r="B94" s="115" t="s">
        <v>981</v>
      </c>
      <c r="C94" s="5">
        <v>137167.14</v>
      </c>
      <c r="D94" s="99">
        <v>128751.09</v>
      </c>
      <c r="E94" s="45">
        <f>D94-C94</f>
        <v>-8416.050000000017</v>
      </c>
    </row>
    <row r="95" spans="2:5" ht="13.5" thickBot="1">
      <c r="B95" s="157" t="s">
        <v>106</v>
      </c>
      <c r="C95" s="95">
        <v>26650.87</v>
      </c>
      <c r="D95" s="235">
        <v>26650.87</v>
      </c>
      <c r="E95" s="46">
        <f>D95-C95</f>
        <v>0</v>
      </c>
    </row>
    <row r="96" spans="2:5" ht="13.5" thickBot="1">
      <c r="B96" s="124"/>
      <c r="C96" s="118">
        <f>SUM(C91:C95)</f>
        <v>614422.3</v>
      </c>
      <c r="D96" s="118">
        <f>SUM(D91:D95)</f>
        <v>650795.22</v>
      </c>
      <c r="E96" s="119">
        <f>SUM(E91:E95)</f>
        <v>36372.92000000003</v>
      </c>
    </row>
    <row r="97" spans="2:5" ht="13.5" thickBot="1">
      <c r="B97" s="393" t="s">
        <v>7</v>
      </c>
      <c r="C97" s="394"/>
      <c r="D97" s="394"/>
      <c r="E97" s="395"/>
    </row>
    <row r="98" spans="2:5" ht="12.75">
      <c r="B98" s="140" t="s">
        <v>285</v>
      </c>
      <c r="C98" s="141">
        <v>299650.66</v>
      </c>
      <c r="D98" s="155">
        <v>309208.72</v>
      </c>
      <c r="E98" s="44">
        <f>D98-C98</f>
        <v>9558.059999999998</v>
      </c>
    </row>
    <row r="99" spans="2:5" ht="12.75">
      <c r="B99" s="115" t="s">
        <v>637</v>
      </c>
      <c r="C99" s="5">
        <v>145491.31</v>
      </c>
      <c r="D99" s="33">
        <v>149502.64</v>
      </c>
      <c r="E99" s="45">
        <f>D99-C99</f>
        <v>4011.3300000000163</v>
      </c>
    </row>
    <row r="100" spans="2:5" ht="12.75">
      <c r="B100" s="115" t="s">
        <v>633</v>
      </c>
      <c r="C100" s="5">
        <v>35796.99</v>
      </c>
      <c r="D100" s="33">
        <v>36821.12</v>
      </c>
      <c r="E100" s="45">
        <f>D100-C100</f>
        <v>1024.1300000000047</v>
      </c>
    </row>
    <row r="101" spans="2:5" ht="12.75">
      <c r="B101" s="116" t="s">
        <v>299</v>
      </c>
      <c r="C101" s="65">
        <v>137167.14</v>
      </c>
      <c r="D101" s="65">
        <v>149636.88</v>
      </c>
      <c r="E101" s="45">
        <f>D101-C101</f>
        <v>12469.73999999999</v>
      </c>
    </row>
    <row r="102" spans="2:5" ht="13.5" thickBot="1">
      <c r="B102" s="157" t="s">
        <v>632</v>
      </c>
      <c r="C102" s="225">
        <v>15000</v>
      </c>
      <c r="D102" s="225">
        <v>15000</v>
      </c>
      <c r="E102" s="46">
        <f>D102-C102</f>
        <v>0</v>
      </c>
    </row>
    <row r="103" spans="2:5" ht="13.5" thickBot="1">
      <c r="B103" s="124"/>
      <c r="C103" s="252">
        <f>SUM(C98:C102)</f>
        <v>633106.1</v>
      </c>
      <c r="D103" s="252">
        <f>SUM(D98:D102)</f>
        <v>660169.36</v>
      </c>
      <c r="E103" s="119">
        <f>SUM(E98:E102)</f>
        <v>27063.26000000001</v>
      </c>
    </row>
    <row r="104" spans="2:5" ht="13.5" thickBot="1">
      <c r="B104" s="363" t="s">
        <v>413</v>
      </c>
      <c r="C104" s="364"/>
      <c r="D104" s="364"/>
      <c r="E104" s="365"/>
    </row>
    <row r="105" spans="2:5" ht="12.75">
      <c r="B105" s="140" t="s">
        <v>285</v>
      </c>
      <c r="C105" s="223">
        <v>373289.68</v>
      </c>
      <c r="D105" s="285">
        <v>361335.01</v>
      </c>
      <c r="E105" s="44">
        <f>D105-C105</f>
        <v>-11954.669999999984</v>
      </c>
    </row>
    <row r="106" spans="2:5" ht="12.75">
      <c r="B106" s="115" t="s">
        <v>637</v>
      </c>
      <c r="C106" s="28">
        <v>167003.5</v>
      </c>
      <c r="D106" s="88">
        <v>160778.18</v>
      </c>
      <c r="E106" s="45">
        <f>D106-C106</f>
        <v>-6225.320000000007</v>
      </c>
    </row>
    <row r="107" spans="2:5" ht="12.75">
      <c r="B107" s="116" t="s">
        <v>408</v>
      </c>
      <c r="C107" s="89">
        <v>49108.03</v>
      </c>
      <c r="D107" s="90">
        <v>49304.43</v>
      </c>
      <c r="E107" s="45">
        <f>D107-C107</f>
        <v>196.40000000000146</v>
      </c>
    </row>
    <row r="108" spans="2:5" ht="13.5" thickBot="1">
      <c r="B108" s="157" t="s">
        <v>299</v>
      </c>
      <c r="C108" s="263">
        <v>149636.88</v>
      </c>
      <c r="D108" s="284">
        <v>149636.88</v>
      </c>
      <c r="E108" s="46">
        <f>D108-C108</f>
        <v>0</v>
      </c>
    </row>
    <row r="109" spans="2:5" ht="13.5" thickBot="1">
      <c r="B109" s="124"/>
      <c r="C109" s="252">
        <f>SUM(C105:C108)</f>
        <v>739038.09</v>
      </c>
      <c r="D109" s="252">
        <f>SUM(D105:D108)</f>
        <v>721054.5</v>
      </c>
      <c r="E109" s="119">
        <f>SUM(E105:E108)</f>
        <v>-17983.58999999999</v>
      </c>
    </row>
    <row r="110" spans="2:5" ht="13.5" thickBot="1">
      <c r="B110" s="363" t="s">
        <v>412</v>
      </c>
      <c r="C110" s="364"/>
      <c r="D110" s="364"/>
      <c r="E110" s="365"/>
    </row>
    <row r="111" spans="2:5" ht="12.75">
      <c r="B111" s="140" t="s">
        <v>285</v>
      </c>
      <c r="C111" s="223">
        <v>379272.28</v>
      </c>
      <c r="D111" s="223">
        <v>396993.36</v>
      </c>
      <c r="E111" s="253">
        <f>D111-C111</f>
        <v>17721.079999999958</v>
      </c>
    </row>
    <row r="112" spans="2:5" ht="12.75">
      <c r="B112" s="115" t="s">
        <v>637</v>
      </c>
      <c r="C112" s="28">
        <v>168824.74</v>
      </c>
      <c r="D112" s="28">
        <v>176540.06</v>
      </c>
      <c r="E112" s="53">
        <f>D112-C112</f>
        <v>7715.320000000007</v>
      </c>
    </row>
    <row r="113" spans="2:5" ht="12.75">
      <c r="B113" s="115" t="s">
        <v>408</v>
      </c>
      <c r="C113" s="28">
        <v>63926.92</v>
      </c>
      <c r="D113" s="28">
        <v>66535.2</v>
      </c>
      <c r="E113" s="81">
        <f>D113-C113</f>
        <v>2608.279999999999</v>
      </c>
    </row>
    <row r="114" spans="2:5" ht="12.75">
      <c r="B114" s="115" t="s">
        <v>981</v>
      </c>
      <c r="C114" s="28">
        <v>62348.7</v>
      </c>
      <c r="D114" s="28">
        <v>37409.22</v>
      </c>
      <c r="E114" s="53">
        <f>D114-C114</f>
        <v>-24939.479999999996</v>
      </c>
    </row>
    <row r="115" spans="2:5" ht="26.25" thickBot="1">
      <c r="B115" s="156" t="s">
        <v>939</v>
      </c>
      <c r="C115" s="267">
        <v>2500</v>
      </c>
      <c r="D115" s="224">
        <v>2500</v>
      </c>
      <c r="E115" s="85">
        <f>C115-D115</f>
        <v>0</v>
      </c>
    </row>
    <row r="116" spans="2:5" ht="13.5" thickBot="1">
      <c r="B116" s="187"/>
      <c r="C116" s="340">
        <f>SUM(C111:C115)</f>
        <v>676872.64</v>
      </c>
      <c r="D116" s="152">
        <f>SUM(D111:D115)</f>
        <v>679977.8399999999</v>
      </c>
      <c r="E116" s="299">
        <f>SUM(E111:E115)</f>
        <v>3105.199999999968</v>
      </c>
    </row>
    <row r="117" spans="2:5" ht="13.5" thickBot="1">
      <c r="B117" s="363" t="s">
        <v>6</v>
      </c>
      <c r="C117" s="364"/>
      <c r="D117" s="364"/>
      <c r="E117" s="365"/>
    </row>
    <row r="118" spans="2:5" ht="12.75">
      <c r="B118" s="140" t="s">
        <v>285</v>
      </c>
      <c r="C118" s="212">
        <v>423339.96</v>
      </c>
      <c r="D118" s="223">
        <v>412978.02</v>
      </c>
      <c r="E118" s="253">
        <f>D118-C118</f>
        <v>-10361.940000000002</v>
      </c>
    </row>
    <row r="119" spans="2:5" ht="12.75">
      <c r="B119" s="115" t="s">
        <v>637</v>
      </c>
      <c r="C119" s="18">
        <v>194061.01</v>
      </c>
      <c r="D119" s="18">
        <v>191196.26</v>
      </c>
      <c r="E119" s="53">
        <f>D119-C119</f>
        <v>-2864.75</v>
      </c>
    </row>
    <row r="120" spans="2:5" ht="12.75">
      <c r="B120" s="116" t="s">
        <v>408</v>
      </c>
      <c r="C120" s="18">
        <v>71752.19</v>
      </c>
      <c r="D120" s="18">
        <v>70184.1</v>
      </c>
      <c r="E120" s="81">
        <f>D120-C120</f>
        <v>-1568.0899999999965</v>
      </c>
    </row>
    <row r="121" spans="2:5" ht="25.5">
      <c r="B121" s="278" t="s">
        <v>939</v>
      </c>
      <c r="C121" s="106">
        <v>2800</v>
      </c>
      <c r="D121" s="127">
        <v>2800</v>
      </c>
      <c r="E121" s="81">
        <f>D121-C121</f>
        <v>0</v>
      </c>
    </row>
    <row r="122" spans="2:5" ht="13.5" thickBot="1">
      <c r="B122" s="157" t="s">
        <v>1200</v>
      </c>
      <c r="C122" s="224">
        <v>31629.48</v>
      </c>
      <c r="D122" s="224">
        <v>31629.48</v>
      </c>
      <c r="E122" s="85">
        <f>C122-D122</f>
        <v>0</v>
      </c>
    </row>
    <row r="123" spans="2:5" ht="13.5" thickBot="1">
      <c r="B123" s="187"/>
      <c r="C123" s="340">
        <f>SUM(C118:C122)</f>
        <v>723582.6399999999</v>
      </c>
      <c r="D123" s="152">
        <f>SUM(D118:D122)</f>
        <v>708787.86</v>
      </c>
      <c r="E123" s="299">
        <f>SUM(E118:E122)</f>
        <v>-14794.779999999999</v>
      </c>
    </row>
    <row r="124" spans="2:5" ht="13.5" thickBot="1">
      <c r="B124" s="363" t="s">
        <v>821</v>
      </c>
      <c r="C124" s="364"/>
      <c r="D124" s="364"/>
      <c r="E124" s="365"/>
    </row>
    <row r="125" spans="2:5" ht="12.75">
      <c r="B125" s="140" t="s">
        <v>285</v>
      </c>
      <c r="C125" s="234">
        <v>270714.29</v>
      </c>
      <c r="D125" s="218">
        <v>254177.25</v>
      </c>
      <c r="E125" s="253">
        <f>D125-C125</f>
        <v>-16537.03999999998</v>
      </c>
    </row>
    <row r="126" spans="2:5" ht="12.75">
      <c r="B126" s="115" t="s">
        <v>637</v>
      </c>
      <c r="C126" s="10">
        <v>131865.96</v>
      </c>
      <c r="D126" s="99">
        <v>123598.23</v>
      </c>
      <c r="E126" s="53">
        <f>D126-C126</f>
        <v>-8267.729999999996</v>
      </c>
    </row>
    <row r="127" spans="2:5" ht="12.75">
      <c r="B127" s="220" t="s">
        <v>633</v>
      </c>
      <c r="C127" s="125">
        <v>47155.14</v>
      </c>
      <c r="D127" s="125">
        <v>43957.41</v>
      </c>
      <c r="E127" s="81">
        <f>D127-C127</f>
        <v>-3197.729999999996</v>
      </c>
    </row>
    <row r="128" spans="2:5" ht="12.75">
      <c r="B128" s="269" t="s">
        <v>1061</v>
      </c>
      <c r="C128" s="107">
        <v>4200</v>
      </c>
      <c r="D128" s="107">
        <v>4700</v>
      </c>
      <c r="E128" s="81">
        <f>D128-C128</f>
        <v>500</v>
      </c>
    </row>
    <row r="129" spans="2:5" ht="13.5" thickBot="1">
      <c r="B129" s="157" t="s">
        <v>364</v>
      </c>
      <c r="C129" s="142">
        <v>93724.13</v>
      </c>
      <c r="D129" s="142">
        <v>102018.84</v>
      </c>
      <c r="E129" s="85">
        <f>D129-C129</f>
        <v>8294.709999999992</v>
      </c>
    </row>
    <row r="130" spans="2:5" ht="13.5" thickBot="1">
      <c r="B130" s="187"/>
      <c r="C130" s="254">
        <f>SUM(C125:C129)</f>
        <v>547659.52</v>
      </c>
      <c r="D130" s="255">
        <f>SUM(D125:D129)</f>
        <v>528451.73</v>
      </c>
      <c r="E130" s="256">
        <f>SUM(E125:E129)</f>
        <v>-19207.78999999998</v>
      </c>
    </row>
    <row r="131" spans="2:5" ht="13.5" thickBot="1">
      <c r="B131" s="363" t="s">
        <v>87</v>
      </c>
      <c r="C131" s="364"/>
      <c r="D131" s="364"/>
      <c r="E131" s="365"/>
    </row>
    <row r="132" spans="2:5" ht="12.75">
      <c r="B132" s="140" t="s">
        <v>285</v>
      </c>
      <c r="C132" s="234">
        <v>450813.53</v>
      </c>
      <c r="D132" s="218">
        <v>454837.22</v>
      </c>
      <c r="E132" s="253">
        <f aca="true" t="shared" si="1" ref="E132:E138">D132-C132</f>
        <v>4023.689999999944</v>
      </c>
    </row>
    <row r="133" spans="2:5" ht="12.75">
      <c r="B133" s="115" t="s">
        <v>637</v>
      </c>
      <c r="C133" s="10">
        <v>221740.3</v>
      </c>
      <c r="D133" s="98">
        <v>224516.47</v>
      </c>
      <c r="E133" s="53">
        <f t="shared" si="1"/>
        <v>2776.170000000013</v>
      </c>
    </row>
    <row r="134" spans="2:5" ht="12.75">
      <c r="B134" s="115" t="s">
        <v>364</v>
      </c>
      <c r="C134" s="10">
        <v>58145.67</v>
      </c>
      <c r="D134" s="98">
        <v>52006.67</v>
      </c>
      <c r="E134" s="53">
        <f t="shared" si="1"/>
        <v>-6139</v>
      </c>
    </row>
    <row r="135" spans="2:5" ht="12.75">
      <c r="B135" s="115" t="s">
        <v>633</v>
      </c>
      <c r="C135" s="10">
        <v>80575.82</v>
      </c>
      <c r="D135" s="98">
        <v>82316.38</v>
      </c>
      <c r="E135" s="53">
        <f t="shared" si="1"/>
        <v>1740.5599999999977</v>
      </c>
    </row>
    <row r="136" spans="2:5" ht="12.75">
      <c r="B136" s="115" t="s">
        <v>1061</v>
      </c>
      <c r="C136" s="10">
        <f>3500+2400+3600</f>
        <v>9500</v>
      </c>
      <c r="D136" s="98">
        <f>4200+2400+3300</f>
        <v>9900</v>
      </c>
      <c r="E136" s="53">
        <f t="shared" si="1"/>
        <v>400</v>
      </c>
    </row>
    <row r="137" spans="2:5" ht="12.75">
      <c r="B137" s="115" t="s">
        <v>805</v>
      </c>
      <c r="C137" s="125">
        <v>23280.54</v>
      </c>
      <c r="D137" s="125">
        <v>28342.8</v>
      </c>
      <c r="E137" s="53">
        <f t="shared" si="1"/>
        <v>5062.259999999998</v>
      </c>
    </row>
    <row r="138" spans="2:5" ht="12.75" customHeight="1" thickBot="1">
      <c r="B138" s="266" t="s">
        <v>1088</v>
      </c>
      <c r="C138" s="142">
        <v>5953.4</v>
      </c>
      <c r="D138" s="142">
        <v>5953.4</v>
      </c>
      <c r="E138" s="85">
        <f t="shared" si="1"/>
        <v>0</v>
      </c>
    </row>
    <row r="139" spans="2:5" ht="13.5" thickBot="1">
      <c r="B139" s="177"/>
      <c r="C139" s="217">
        <f>SUM(C132:C138)</f>
        <v>850009.2600000001</v>
      </c>
      <c r="D139" s="217">
        <f>SUM(D132:D138)</f>
        <v>857872.9400000001</v>
      </c>
      <c r="E139" s="353">
        <f>SUM(E132:E138)</f>
        <v>7863.679999999953</v>
      </c>
    </row>
    <row r="140" spans="2:5" ht="13.5" thickBot="1">
      <c r="B140" s="366" t="s">
        <v>379</v>
      </c>
      <c r="C140" s="367"/>
      <c r="D140" s="367"/>
      <c r="E140" s="368"/>
    </row>
    <row r="141" spans="2:5" ht="13.5" thickBot="1">
      <c r="B141" s="153"/>
      <c r="C141" s="117">
        <f>C96+C103+C109+C116+C123+C130+C139</f>
        <v>4784690.55</v>
      </c>
      <c r="D141" s="117">
        <f>D96+D103+D109+D116+D123+D130+D139</f>
        <v>4807109.45</v>
      </c>
      <c r="E141" s="117">
        <f>E96+E103+E109+E116+E123+E130+E139</f>
        <v>22418.89999999999</v>
      </c>
    </row>
  </sheetData>
  <sheetProtection/>
  <mergeCells count="24">
    <mergeCell ref="D87:E87"/>
    <mergeCell ref="B90:E90"/>
    <mergeCell ref="B140:E140"/>
    <mergeCell ref="B131:E131"/>
    <mergeCell ref="B97:E97"/>
    <mergeCell ref="B104:E104"/>
    <mergeCell ref="B117:E117"/>
    <mergeCell ref="B124:E124"/>
    <mergeCell ref="D24:E24"/>
    <mergeCell ref="B110:E110"/>
    <mergeCell ref="D79:E79"/>
    <mergeCell ref="D80:E80"/>
    <mergeCell ref="D81:E81"/>
    <mergeCell ref="D82:E82"/>
    <mergeCell ref="D83:E83"/>
    <mergeCell ref="D84:E84"/>
    <mergeCell ref="D85:E85"/>
    <mergeCell ref="D86:E86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6.875" style="0" customWidth="1"/>
    <col min="3" max="3" width="10.375" style="0" customWidth="1"/>
    <col min="4" max="4" width="12.1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5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373</v>
      </c>
      <c r="C7" s="26"/>
      <c r="D7" s="24"/>
    </row>
    <row r="8" spans="1:4" ht="15">
      <c r="A8" s="26"/>
      <c r="B8" s="27" t="s">
        <v>115</v>
      </c>
      <c r="C8" s="38">
        <v>7423.3</v>
      </c>
      <c r="D8" s="92" t="s">
        <v>116</v>
      </c>
    </row>
    <row r="9" spans="1:4" ht="15">
      <c r="A9" s="26"/>
      <c r="B9" s="27" t="s">
        <v>654</v>
      </c>
      <c r="C9" s="93">
        <v>356.54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897261.73</v>
      </c>
      <c r="D12" s="218">
        <v>911897.71</v>
      </c>
      <c r="E12" s="242">
        <f aca="true" t="shared" si="0" ref="E12:E18">D12-C12</f>
        <v>14635.979999999981</v>
      </c>
    </row>
    <row r="13" spans="1:5" ht="12.75">
      <c r="A13" s="84">
        <v>2</v>
      </c>
      <c r="B13" s="5" t="s">
        <v>637</v>
      </c>
      <c r="C13" s="5">
        <v>437942.89</v>
      </c>
      <c r="D13" s="98">
        <v>446233.66</v>
      </c>
      <c r="E13" s="57">
        <f t="shared" si="0"/>
        <v>8290.76999999996</v>
      </c>
    </row>
    <row r="14" spans="1:5" ht="12.75">
      <c r="A14" s="84">
        <v>3</v>
      </c>
      <c r="B14" s="5" t="s">
        <v>364</v>
      </c>
      <c r="C14" s="5">
        <v>37683.4</v>
      </c>
      <c r="D14" s="99">
        <v>47872.74</v>
      </c>
      <c r="E14" s="57">
        <f t="shared" si="0"/>
        <v>10189.339999999997</v>
      </c>
    </row>
    <row r="15" spans="1:5" ht="12.75">
      <c r="A15" s="84">
        <v>4</v>
      </c>
      <c r="B15" s="5" t="s">
        <v>633</v>
      </c>
      <c r="C15" s="10">
        <v>154220.01</v>
      </c>
      <c r="D15" s="98">
        <v>159104.79</v>
      </c>
      <c r="E15" s="57">
        <f t="shared" si="0"/>
        <v>4884.779999999999</v>
      </c>
    </row>
    <row r="16" spans="1:5" ht="12.75">
      <c r="A16" s="84">
        <v>5</v>
      </c>
      <c r="B16" s="5" t="s">
        <v>29</v>
      </c>
      <c r="C16" s="10">
        <f>13125+2400+3600+21082.4</f>
        <v>40207.4</v>
      </c>
      <c r="D16" s="98">
        <f>13125+2400+3600+12820.4</f>
        <v>31945.4</v>
      </c>
      <c r="E16" s="57">
        <f t="shared" si="0"/>
        <v>-8262</v>
      </c>
    </row>
    <row r="17" spans="1:5" ht="12.75">
      <c r="A17" s="84">
        <v>6</v>
      </c>
      <c r="B17" s="105" t="s">
        <v>59</v>
      </c>
      <c r="C17" s="125">
        <v>113502.95</v>
      </c>
      <c r="D17" s="125">
        <v>180524.82</v>
      </c>
      <c r="E17" s="57">
        <f t="shared" si="0"/>
        <v>67021.87000000001</v>
      </c>
    </row>
    <row r="18" spans="1:5" ht="13.5" thickBot="1">
      <c r="A18" s="261">
        <v>7</v>
      </c>
      <c r="B18" s="95" t="s">
        <v>805</v>
      </c>
      <c r="C18" s="225">
        <f>22881.74+6967.7+7765.21+12211.4+7500+9400.43+10000+7608.84+10409.21</f>
        <v>94744.53</v>
      </c>
      <c r="D18" s="227">
        <f>25041.26+8499.53+7765.21+14751.36+8016.51+10916.49+14500.06+10906.39+11383.9</f>
        <v>111780.70999999999</v>
      </c>
      <c r="E18" s="222">
        <f t="shared" si="0"/>
        <v>17036.179999999993</v>
      </c>
    </row>
    <row r="19" spans="1:5" ht="13.5" thickBot="1">
      <c r="A19" s="250"/>
      <c r="B19" s="251"/>
      <c r="C19" s="118">
        <f>SUM(C12:C18)</f>
        <v>1775562.91</v>
      </c>
      <c r="D19" s="118">
        <f>SUM(D12:D18)</f>
        <v>1889359.8299999998</v>
      </c>
      <c r="E19" s="137">
        <f>SUM(E12:E18)</f>
        <v>113796.91999999994</v>
      </c>
    </row>
    <row r="20" spans="1:5" ht="12.75">
      <c r="A20" s="385" t="s">
        <v>793</v>
      </c>
      <c r="B20" s="386"/>
      <c r="C20" s="386"/>
      <c r="D20" s="386"/>
      <c r="E20" s="108">
        <f>E128</f>
        <v>321545.11000000004</v>
      </c>
    </row>
    <row r="21" spans="1:5" ht="12.75">
      <c r="A21" s="387" t="s">
        <v>794</v>
      </c>
      <c r="B21" s="384"/>
      <c r="C21" s="384"/>
      <c r="D21" s="384"/>
      <c r="E21" s="22">
        <v>653294.45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417</v>
      </c>
      <c r="C24" s="80">
        <f>C62</f>
        <v>527861.55</v>
      </c>
      <c r="E24" s="29"/>
    </row>
    <row r="25" spans="1:5" ht="12.75">
      <c r="A25" s="91">
        <v>2</v>
      </c>
      <c r="B25" s="25" t="s">
        <v>344</v>
      </c>
      <c r="C25" s="102">
        <f>C67</f>
        <v>24472.5</v>
      </c>
      <c r="D25" s="388"/>
      <c r="E25" s="389"/>
    </row>
    <row r="26" spans="1:5" ht="12.75">
      <c r="A26" s="84">
        <v>3</v>
      </c>
      <c r="B26" s="9" t="s">
        <v>649</v>
      </c>
      <c r="C26" s="48">
        <v>40586.7</v>
      </c>
      <c r="E26" s="29"/>
    </row>
    <row r="27" spans="1:5" ht="12.75">
      <c r="A27" s="84">
        <v>4</v>
      </c>
      <c r="B27" s="9" t="s">
        <v>122</v>
      </c>
      <c r="C27" s="48">
        <f>(C8*0.55*12)</f>
        <v>48993.780000000006</v>
      </c>
      <c r="E27" s="29"/>
    </row>
    <row r="28" spans="1:5" ht="12.75">
      <c r="A28" s="84">
        <v>5</v>
      </c>
      <c r="B28" s="9" t="s">
        <v>658</v>
      </c>
      <c r="C28" s="79">
        <v>112964.28</v>
      </c>
      <c r="E28" s="29"/>
    </row>
    <row r="29" spans="1:5" ht="12.75">
      <c r="A29" s="91">
        <v>6</v>
      </c>
      <c r="B29" s="25" t="s">
        <v>62</v>
      </c>
      <c r="C29" s="96">
        <v>206798.91</v>
      </c>
      <c r="E29" s="29"/>
    </row>
    <row r="30" spans="1:5" ht="12.75">
      <c r="A30" s="91">
        <v>7</v>
      </c>
      <c r="B30" s="25" t="s">
        <v>61</v>
      </c>
      <c r="C30" s="96">
        <v>2800</v>
      </c>
      <c r="E30" s="29"/>
    </row>
    <row r="31" spans="1:5" ht="12.75">
      <c r="A31" s="91">
        <v>8</v>
      </c>
      <c r="B31" s="346" t="s">
        <v>26</v>
      </c>
      <c r="C31" s="96">
        <v>600</v>
      </c>
      <c r="E31" s="29"/>
    </row>
    <row r="32" spans="1:5" ht="25.5">
      <c r="A32" s="91">
        <v>9</v>
      </c>
      <c r="B32" s="25" t="s">
        <v>60</v>
      </c>
      <c r="C32" s="96">
        <v>15800</v>
      </c>
      <c r="E32" s="29"/>
    </row>
    <row r="33" spans="1:5" ht="12.75" customHeight="1">
      <c r="A33" s="91">
        <v>10</v>
      </c>
      <c r="B33" s="25" t="s">
        <v>63</v>
      </c>
      <c r="C33" s="96">
        <v>6477.8</v>
      </c>
      <c r="E33" s="29"/>
    </row>
    <row r="34" spans="1:5" ht="12.75">
      <c r="A34" s="91">
        <v>11</v>
      </c>
      <c r="B34" s="25" t="s">
        <v>363</v>
      </c>
      <c r="C34" s="349">
        <v>27317.67</v>
      </c>
      <c r="E34" s="29"/>
    </row>
    <row r="35" spans="1:3" ht="12.75">
      <c r="A35" s="50"/>
      <c r="B35" s="20" t="s">
        <v>629</v>
      </c>
      <c r="C35" s="51">
        <f>SUM(C24:C34)</f>
        <v>1014673.1900000002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(C19)*15%</f>
        <v>266334.43649999995</v>
      </c>
    </row>
    <row r="38" spans="1:3" ht="12.75">
      <c r="A38" s="84">
        <v>2</v>
      </c>
      <c r="B38" s="9" t="s">
        <v>813</v>
      </c>
      <c r="C38" s="48">
        <f>C73</f>
        <v>16077.797392897417</v>
      </c>
    </row>
    <row r="39" spans="1:3" ht="12.75">
      <c r="A39" s="84">
        <v>3</v>
      </c>
      <c r="B39" s="9" t="s">
        <v>653</v>
      </c>
      <c r="C39" s="48">
        <f>C74</f>
        <v>17462.870277738824</v>
      </c>
    </row>
    <row r="40" spans="1:3" ht="12.75">
      <c r="A40" s="84">
        <v>4</v>
      </c>
      <c r="B40" s="9" t="s">
        <v>1114</v>
      </c>
      <c r="C40" s="52">
        <f>C75</f>
        <v>35450.32487072376</v>
      </c>
    </row>
    <row r="41" spans="1:3" ht="12.75">
      <c r="A41" s="84">
        <v>5</v>
      </c>
      <c r="B41" s="9" t="s">
        <v>162</v>
      </c>
      <c r="C41" s="52">
        <f>C76</f>
        <v>27147.20318929113</v>
      </c>
    </row>
    <row r="42" spans="1:3" ht="12.75">
      <c r="A42" s="84">
        <v>6</v>
      </c>
      <c r="B42" s="9" t="s">
        <v>1051</v>
      </c>
      <c r="C42" s="48">
        <f>C77+C79+C80+C81+C78</f>
        <v>46068.689045258434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408541.32127590955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C19*2%</f>
        <v>35511.2582</v>
      </c>
    </row>
    <row r="50" spans="1:3" ht="12.75">
      <c r="A50" s="84">
        <v>2</v>
      </c>
      <c r="B50" s="9" t="s">
        <v>391</v>
      </c>
      <c r="C50" s="48">
        <f>C51</f>
        <v>104403.099108</v>
      </c>
    </row>
    <row r="51" spans="1:4" ht="12.75">
      <c r="A51" s="49"/>
      <c r="B51" s="5" t="s">
        <v>334</v>
      </c>
      <c r="C51" s="41">
        <f>(C19-C49)*6%</f>
        <v>104403.099108</v>
      </c>
      <c r="D51" s="19"/>
    </row>
    <row r="52" spans="1:3" ht="13.5" thickBot="1">
      <c r="A52" s="54"/>
      <c r="B52" s="55" t="s">
        <v>967</v>
      </c>
      <c r="C52" s="56">
        <f>C49+C50</f>
        <v>139914.35730799998</v>
      </c>
    </row>
    <row r="53" spans="1:3" ht="12.75">
      <c r="A53" s="23"/>
      <c r="B53" s="4" t="s">
        <v>288</v>
      </c>
      <c r="C53" s="11">
        <f>C35+C47+C52</f>
        <v>1563128.8685839097</v>
      </c>
    </row>
    <row r="54" spans="1:3" ht="12.75">
      <c r="A54" s="23"/>
      <c r="B54" s="77"/>
      <c r="C54" s="1"/>
    </row>
    <row r="55" spans="1:3" ht="15">
      <c r="A55" s="23"/>
      <c r="B55" s="14" t="s">
        <v>975</v>
      </c>
      <c r="C55" s="1">
        <v>119137.29</v>
      </c>
    </row>
    <row r="56" spans="1:3" ht="15">
      <c r="A56" s="23"/>
      <c r="B56" s="14" t="s">
        <v>94</v>
      </c>
      <c r="C56" s="11">
        <f>C19+C55-C53</f>
        <v>331571.33141609025</v>
      </c>
    </row>
    <row r="57" ht="12.75">
      <c r="B57" s="1" t="s">
        <v>85</v>
      </c>
    </row>
    <row r="58" ht="16.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49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C8+C9</f>
        <v>7779.84</v>
      </c>
      <c r="E61" t="s">
        <v>116</v>
      </c>
    </row>
    <row r="62" spans="1:5" ht="12.75">
      <c r="A62" s="60" t="s">
        <v>218</v>
      </c>
      <c r="B62" s="39" t="s">
        <v>286</v>
      </c>
      <c r="C62" s="47">
        <v>527861.55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3724</v>
      </c>
      <c r="D64" s="15"/>
      <c r="E64" s="15"/>
    </row>
    <row r="65" spans="1:5" ht="12.75">
      <c r="A65" s="62" t="s">
        <v>166</v>
      </c>
      <c r="B65" s="6" t="s">
        <v>221</v>
      </c>
      <c r="C65" s="41">
        <v>22107.83</v>
      </c>
      <c r="D65" s="15"/>
      <c r="E65" s="15"/>
    </row>
    <row r="66" spans="1:5" ht="13.5" thickBot="1">
      <c r="A66" s="62" t="s">
        <v>166</v>
      </c>
      <c r="B66" s="6" t="s">
        <v>64</v>
      </c>
      <c r="C66" s="41">
        <v>75603.66</v>
      </c>
      <c r="D66" s="15"/>
      <c r="E66" s="15"/>
    </row>
    <row r="67" spans="1:5" ht="12.75">
      <c r="A67" s="60" t="s">
        <v>328</v>
      </c>
      <c r="B67" s="39" t="s">
        <v>343</v>
      </c>
      <c r="C67" s="47">
        <v>24472.5</v>
      </c>
      <c r="D67" s="15"/>
      <c r="E67" s="12"/>
    </row>
    <row r="68" spans="1:5" ht="12.75">
      <c r="A68" s="61"/>
      <c r="B68" s="6" t="s">
        <v>118</v>
      </c>
      <c r="C68" s="41"/>
      <c r="D68" s="15"/>
      <c r="E68" s="12"/>
    </row>
    <row r="69" spans="1:5" ht="12.75">
      <c r="A69" s="62" t="s">
        <v>166</v>
      </c>
      <c r="B69" s="6" t="s">
        <v>380</v>
      </c>
      <c r="C69" s="41">
        <v>2279</v>
      </c>
      <c r="D69" s="15"/>
      <c r="E69" s="12"/>
    </row>
    <row r="70" spans="1:5" ht="13.5" thickBot="1">
      <c r="A70" s="63" t="s">
        <v>166</v>
      </c>
      <c r="B70" s="42" t="s">
        <v>818</v>
      </c>
      <c r="C70" s="46">
        <v>424.47</v>
      </c>
      <c r="D70" s="15"/>
      <c r="E70" s="15"/>
    </row>
    <row r="71" spans="1:5" ht="12.75">
      <c r="A71" s="300" t="s">
        <v>787</v>
      </c>
      <c r="B71" s="97" t="s">
        <v>1050</v>
      </c>
      <c r="C71" s="82">
        <f>C72+C73+C75+C74+C76+C77+C79+C80+C81+C78</f>
        <v>408541.3212759095</v>
      </c>
      <c r="D71" s="15"/>
      <c r="E71" s="12"/>
    </row>
    <row r="72" spans="1:5" ht="13.5" thickBot="1">
      <c r="A72" s="40" t="s">
        <v>166</v>
      </c>
      <c r="B72" s="6" t="s">
        <v>227</v>
      </c>
      <c r="C72" s="41">
        <f>C37</f>
        <v>266334.43649999995</v>
      </c>
      <c r="D72" s="15"/>
      <c r="E72" s="12"/>
    </row>
    <row r="73" spans="1:5" ht="12.75">
      <c r="A73" s="40" t="s">
        <v>166</v>
      </c>
      <c r="B73" s="6" t="s">
        <v>370</v>
      </c>
      <c r="C73" s="317">
        <f>401410.25/185335.63*C8</f>
        <v>16077.797392897417</v>
      </c>
      <c r="D73" s="375" t="s">
        <v>50</v>
      </c>
      <c r="E73" s="376"/>
    </row>
    <row r="74" spans="1:5" ht="12.75">
      <c r="A74" s="73" t="s">
        <v>166</v>
      </c>
      <c r="B74" s="74" t="s">
        <v>397</v>
      </c>
      <c r="C74" s="317">
        <f>435991.01/185335.63*C8</f>
        <v>17462.870277738824</v>
      </c>
      <c r="D74" s="377" t="s">
        <v>51</v>
      </c>
      <c r="E74" s="378"/>
    </row>
    <row r="75" spans="1:5" ht="12.75">
      <c r="A75" s="71" t="s">
        <v>166</v>
      </c>
      <c r="B75" s="72" t="s">
        <v>416</v>
      </c>
      <c r="C75" s="317">
        <f>1082167/226605.83*C8</f>
        <v>35450.32487072376</v>
      </c>
      <c r="D75" s="379" t="s">
        <v>52</v>
      </c>
      <c r="E75" s="380"/>
    </row>
    <row r="76" spans="1:5" ht="25.5">
      <c r="A76" s="73" t="s">
        <v>166</v>
      </c>
      <c r="B76" s="72" t="s">
        <v>231</v>
      </c>
      <c r="C76" s="318">
        <f>845684.35/242356.05*D61</f>
        <v>27147.20318929113</v>
      </c>
      <c r="D76" s="381" t="s">
        <v>53</v>
      </c>
      <c r="E76" s="382"/>
    </row>
    <row r="77" spans="1:5" ht="12.75">
      <c r="A77" s="73" t="s">
        <v>166</v>
      </c>
      <c r="B77" s="74" t="s">
        <v>808</v>
      </c>
      <c r="C77" s="318">
        <f>642562.44/242356.05*D61</f>
        <v>20626.813208127463</v>
      </c>
      <c r="D77" s="371" t="s">
        <v>54</v>
      </c>
      <c r="E77" s="372"/>
    </row>
    <row r="78" spans="1:5" ht="12.75">
      <c r="A78" s="73" t="s">
        <v>166</v>
      </c>
      <c r="B78" s="74" t="s">
        <v>826</v>
      </c>
      <c r="C78" s="318">
        <f>51615/196822.43*D61</f>
        <v>2040.1965446722716</v>
      </c>
      <c r="D78" s="371" t="s">
        <v>55</v>
      </c>
      <c r="E78" s="372"/>
    </row>
    <row r="79" spans="1:5" ht="12.75">
      <c r="A79" s="73" t="s">
        <v>166</v>
      </c>
      <c r="B79" s="74" t="s">
        <v>655</v>
      </c>
      <c r="C79" s="318">
        <f>129011.28/196822.43*D61</f>
        <v>5099.45495843741</v>
      </c>
      <c r="D79" s="371" t="s">
        <v>56</v>
      </c>
      <c r="E79" s="372"/>
    </row>
    <row r="80" spans="1:5" ht="12.75">
      <c r="A80" s="73" t="s">
        <v>166</v>
      </c>
      <c r="B80" s="74" t="s">
        <v>656</v>
      </c>
      <c r="C80" s="318">
        <f>164128/196822.43*D61</f>
        <v>6487.520652600418</v>
      </c>
      <c r="D80" s="373" t="s">
        <v>57</v>
      </c>
      <c r="E80" s="374"/>
    </row>
    <row r="81" spans="1:5" ht="13.5" thickBot="1">
      <c r="A81" s="75" t="s">
        <v>166</v>
      </c>
      <c r="B81" s="76" t="s">
        <v>809</v>
      </c>
      <c r="C81" s="319">
        <f>298900.58/196822.43*D61</f>
        <v>11814.703681420862</v>
      </c>
      <c r="D81" s="369" t="s">
        <v>58</v>
      </c>
      <c r="E81" s="370"/>
    </row>
    <row r="82" ht="13.5" thickBot="1"/>
    <row r="83" spans="2:5" ht="26.25" thickBot="1">
      <c r="B83" s="143"/>
      <c r="C83" s="205" t="s">
        <v>104</v>
      </c>
      <c r="D83" s="236" t="s">
        <v>306</v>
      </c>
      <c r="E83" s="130" t="s">
        <v>305</v>
      </c>
    </row>
    <row r="84" spans="2:5" ht="13.5" thickBot="1">
      <c r="B84" s="363" t="s">
        <v>970</v>
      </c>
      <c r="C84" s="364"/>
      <c r="D84" s="364"/>
      <c r="E84" s="365"/>
    </row>
    <row r="85" spans="2:5" ht="12.75">
      <c r="B85" s="140" t="s">
        <v>285</v>
      </c>
      <c r="C85" s="234">
        <v>523044.27</v>
      </c>
      <c r="D85" s="155">
        <v>577257.98</v>
      </c>
      <c r="E85" s="44">
        <f>D85-C85</f>
        <v>54213.70999999996</v>
      </c>
    </row>
    <row r="86" spans="2:5" ht="12.75">
      <c r="B86" s="115" t="s">
        <v>637</v>
      </c>
      <c r="C86" s="10">
        <v>291211.94</v>
      </c>
      <c r="D86" s="33">
        <v>319604.83</v>
      </c>
      <c r="E86" s="45">
        <f>D86-C86</f>
        <v>28392.890000000014</v>
      </c>
    </row>
    <row r="87" spans="2:5" ht="12.75">
      <c r="B87" s="116" t="s">
        <v>410</v>
      </c>
      <c r="C87" s="67">
        <v>5675.73</v>
      </c>
      <c r="D87" s="83">
        <v>5574.49</v>
      </c>
      <c r="E87" s="45">
        <f>D87-C87</f>
        <v>-101.23999999999978</v>
      </c>
    </row>
    <row r="88" spans="2:5" ht="12.75">
      <c r="B88" s="116" t="s">
        <v>113</v>
      </c>
      <c r="C88" s="94">
        <v>27564.2</v>
      </c>
      <c r="D88" s="83">
        <v>32159.82</v>
      </c>
      <c r="E88" s="45">
        <f>D88-C88</f>
        <v>4595.619999999999</v>
      </c>
    </row>
    <row r="89" spans="2:5" ht="13.5" thickBot="1">
      <c r="B89" s="157" t="s">
        <v>232</v>
      </c>
      <c r="C89" s="247">
        <v>33378.23</v>
      </c>
      <c r="D89" s="226">
        <v>36763.64</v>
      </c>
      <c r="E89" s="46">
        <f>D89-C89</f>
        <v>3385.409999999996</v>
      </c>
    </row>
    <row r="90" spans="2:5" ht="13.5" thickBot="1">
      <c r="B90" s="230"/>
      <c r="C90" s="314">
        <f>SUM(C85:C89)</f>
        <v>880874.3699999999</v>
      </c>
      <c r="D90" s="314">
        <f>SUM(D85:D89)</f>
        <v>971360.76</v>
      </c>
      <c r="E90" s="314">
        <f>SUM(E85:E89)</f>
        <v>90486.38999999996</v>
      </c>
    </row>
    <row r="91" spans="2:5" ht="13.5" thickBot="1">
      <c r="B91" s="363" t="s">
        <v>1054</v>
      </c>
      <c r="C91" s="364"/>
      <c r="D91" s="364"/>
      <c r="E91" s="365"/>
    </row>
    <row r="92" spans="2:5" ht="12.75">
      <c r="B92" s="140" t="s">
        <v>285</v>
      </c>
      <c r="C92" s="234">
        <v>724452.73</v>
      </c>
      <c r="D92" s="155">
        <v>755314.9</v>
      </c>
      <c r="E92" s="44">
        <f aca="true" t="shared" si="1" ref="E92:E97">D92-C92</f>
        <v>30862.170000000042</v>
      </c>
    </row>
    <row r="93" spans="2:5" ht="12.75">
      <c r="B93" s="115" t="s">
        <v>637</v>
      </c>
      <c r="C93" s="10">
        <v>358123.16</v>
      </c>
      <c r="D93" s="34">
        <v>371377.97</v>
      </c>
      <c r="E93" s="45">
        <f t="shared" si="1"/>
        <v>13254.809999999998</v>
      </c>
    </row>
    <row r="94" spans="2:5" ht="12.75">
      <c r="B94" s="116" t="s">
        <v>232</v>
      </c>
      <c r="C94" s="67">
        <v>62495.59</v>
      </c>
      <c r="D94" s="83">
        <v>74576.66</v>
      </c>
      <c r="E94" s="45">
        <f t="shared" si="1"/>
        <v>12081.070000000007</v>
      </c>
    </row>
    <row r="95" spans="2:5" ht="12.75">
      <c r="B95" s="116" t="s">
        <v>113</v>
      </c>
      <c r="C95" s="94">
        <v>15197.66</v>
      </c>
      <c r="D95" s="83">
        <v>9188.52</v>
      </c>
      <c r="E95" s="45">
        <f t="shared" si="1"/>
        <v>-6009.139999999999</v>
      </c>
    </row>
    <row r="96" spans="2:5" ht="12.75">
      <c r="B96" s="116" t="s">
        <v>633</v>
      </c>
      <c r="C96" s="94">
        <v>88342.62</v>
      </c>
      <c r="D96" s="83">
        <v>99382.05</v>
      </c>
      <c r="E96" s="45">
        <f t="shared" si="1"/>
        <v>11039.430000000008</v>
      </c>
    </row>
    <row r="97" spans="2:5" ht="26.25" thickBot="1">
      <c r="B97" s="156" t="s">
        <v>119</v>
      </c>
      <c r="C97" s="229">
        <v>2500</v>
      </c>
      <c r="D97" s="229">
        <v>2500</v>
      </c>
      <c r="E97" s="246">
        <f t="shared" si="1"/>
        <v>0</v>
      </c>
    </row>
    <row r="98" spans="2:5" ht="13.5" thickBot="1">
      <c r="B98" s="153"/>
      <c r="C98" s="152">
        <f>SUM(C92:C97)</f>
        <v>1251111.7599999998</v>
      </c>
      <c r="D98" s="138">
        <f>SUM(D92:D97)</f>
        <v>1312340.1</v>
      </c>
      <c r="E98" s="206">
        <f>SUM(E92:E97)</f>
        <v>61228.340000000055</v>
      </c>
    </row>
    <row r="99" spans="2:5" ht="13.5" thickBot="1">
      <c r="B99" s="363" t="s">
        <v>168</v>
      </c>
      <c r="C99" s="364"/>
      <c r="D99" s="364"/>
      <c r="E99" s="365"/>
    </row>
    <row r="100" spans="2:5" ht="12.75">
      <c r="B100" s="140" t="s">
        <v>285</v>
      </c>
      <c r="C100" s="234">
        <v>769390.71</v>
      </c>
      <c r="D100" s="155">
        <v>779093.58</v>
      </c>
      <c r="E100" s="44">
        <f aca="true" t="shared" si="2" ref="E100:E106">D100-C100</f>
        <v>9702.869999999995</v>
      </c>
    </row>
    <row r="101" spans="2:5" ht="12.75">
      <c r="B101" s="115" t="s">
        <v>637</v>
      </c>
      <c r="C101" s="10">
        <v>375325.06</v>
      </c>
      <c r="D101" s="34">
        <v>378801.45</v>
      </c>
      <c r="E101" s="45">
        <f t="shared" si="2"/>
        <v>3476.390000000014</v>
      </c>
    </row>
    <row r="102" spans="2:5" ht="12.75">
      <c r="B102" s="116" t="s">
        <v>232</v>
      </c>
      <c r="C102" s="67">
        <v>63129.07</v>
      </c>
      <c r="D102" s="83">
        <v>54793.95</v>
      </c>
      <c r="E102" s="45">
        <f t="shared" si="2"/>
        <v>-8335.120000000003</v>
      </c>
    </row>
    <row r="103" spans="2:5" ht="12.75">
      <c r="B103" s="116" t="s">
        <v>372</v>
      </c>
      <c r="C103" s="94">
        <v>3000</v>
      </c>
      <c r="D103" s="83">
        <v>3000</v>
      </c>
      <c r="E103" s="45">
        <f t="shared" si="2"/>
        <v>0</v>
      </c>
    </row>
    <row r="104" spans="2:5" ht="12.75">
      <c r="B104" s="116" t="s">
        <v>377</v>
      </c>
      <c r="C104" s="316">
        <v>3250</v>
      </c>
      <c r="D104" s="316">
        <v>3250</v>
      </c>
      <c r="E104" s="53">
        <f t="shared" si="2"/>
        <v>0</v>
      </c>
    </row>
    <row r="105" spans="2:5" ht="12.75">
      <c r="B105" s="116" t="s">
        <v>113</v>
      </c>
      <c r="C105" s="94">
        <v>4469.28</v>
      </c>
      <c r="D105" s="83">
        <v>5200</v>
      </c>
      <c r="E105" s="45">
        <f t="shared" si="2"/>
        <v>730.7200000000003</v>
      </c>
    </row>
    <row r="106" spans="2:5" ht="13.5" thickBot="1">
      <c r="B106" s="157" t="s">
        <v>633</v>
      </c>
      <c r="C106" s="247">
        <v>116550.47</v>
      </c>
      <c r="D106" s="226">
        <v>118231.28</v>
      </c>
      <c r="E106" s="46">
        <f t="shared" si="2"/>
        <v>1680.8099999999977</v>
      </c>
    </row>
    <row r="107" spans="2:5" ht="13.5" thickBot="1">
      <c r="B107" s="153"/>
      <c r="C107" s="152">
        <f>SUM(C100:C106)</f>
        <v>1335114.59</v>
      </c>
      <c r="D107" s="138">
        <f>SUM(D100:D106)</f>
        <v>1342370.26</v>
      </c>
      <c r="E107" s="206">
        <f>SUM(E100:E106)</f>
        <v>7255.670000000005</v>
      </c>
    </row>
    <row r="108" spans="2:5" ht="13.5" thickBot="1">
      <c r="B108" s="363" t="s">
        <v>795</v>
      </c>
      <c r="C108" s="364"/>
      <c r="D108" s="364"/>
      <c r="E108" s="365"/>
    </row>
    <row r="109" spans="2:5" ht="12.75">
      <c r="B109" s="140" t="s">
        <v>285</v>
      </c>
      <c r="C109" s="141">
        <v>972277.07</v>
      </c>
      <c r="D109" s="155">
        <v>998534.91</v>
      </c>
      <c r="E109" s="253">
        <f aca="true" t="shared" si="3" ref="E109:E116">D109-C109</f>
        <v>26257.840000000084</v>
      </c>
    </row>
    <row r="110" spans="2:5" ht="12.75">
      <c r="B110" s="115" t="s">
        <v>637</v>
      </c>
      <c r="C110" s="5">
        <v>471709.29</v>
      </c>
      <c r="D110" s="33">
        <v>483750.16</v>
      </c>
      <c r="E110" s="53">
        <f t="shared" si="3"/>
        <v>12040.869999999995</v>
      </c>
    </row>
    <row r="111" spans="2:5" ht="12.75">
      <c r="B111" s="115" t="s">
        <v>633</v>
      </c>
      <c r="C111" s="65">
        <v>146890.18</v>
      </c>
      <c r="D111" s="70">
        <v>151874.96</v>
      </c>
      <c r="E111" s="53">
        <f t="shared" si="3"/>
        <v>4984.779999999999</v>
      </c>
    </row>
    <row r="112" spans="2:5" ht="12.75">
      <c r="B112" s="278" t="s">
        <v>792</v>
      </c>
      <c r="C112" s="122">
        <v>900</v>
      </c>
      <c r="D112" s="122">
        <v>1400</v>
      </c>
      <c r="E112" s="81">
        <f t="shared" si="3"/>
        <v>500</v>
      </c>
    </row>
    <row r="113" spans="2:5" ht="12.75">
      <c r="B113" s="115" t="s">
        <v>805</v>
      </c>
      <c r="C113" s="67">
        <v>99901.64</v>
      </c>
      <c r="D113" s="83">
        <v>103805.22</v>
      </c>
      <c r="E113" s="53">
        <f t="shared" si="3"/>
        <v>3903.5800000000017</v>
      </c>
    </row>
    <row r="114" spans="2:5" ht="12.75">
      <c r="B114" s="116" t="s">
        <v>377</v>
      </c>
      <c r="C114" s="94">
        <v>5468.75</v>
      </c>
      <c r="D114" s="83">
        <v>5468.75</v>
      </c>
      <c r="E114" s="53">
        <f t="shared" si="3"/>
        <v>0</v>
      </c>
    </row>
    <row r="115" spans="2:5" ht="12.75">
      <c r="B115" s="116" t="s">
        <v>113</v>
      </c>
      <c r="C115" s="94">
        <v>705.42</v>
      </c>
      <c r="D115" s="83">
        <v>1796.14</v>
      </c>
      <c r="E115" s="81">
        <f t="shared" si="3"/>
        <v>1090.7200000000003</v>
      </c>
    </row>
    <row r="116" spans="2:5" ht="13.5" thickBot="1">
      <c r="B116" s="157" t="s">
        <v>1200</v>
      </c>
      <c r="C116" s="229">
        <v>41237.42</v>
      </c>
      <c r="D116" s="229">
        <v>41237.42</v>
      </c>
      <c r="E116" s="262">
        <f t="shared" si="3"/>
        <v>0</v>
      </c>
    </row>
    <row r="117" spans="2:5" ht="13.5" thickBot="1">
      <c r="B117" s="153"/>
      <c r="C117" s="152">
        <f>SUM(C109:C116)</f>
        <v>1739089.7699999996</v>
      </c>
      <c r="D117" s="138">
        <f>SUM(D109:D116)</f>
        <v>1787867.5599999998</v>
      </c>
      <c r="E117" s="206">
        <f>SUM(E109:E116)</f>
        <v>48777.79000000008</v>
      </c>
    </row>
    <row r="118" spans="2:5" ht="13.5" thickBot="1">
      <c r="B118" s="363" t="s">
        <v>87</v>
      </c>
      <c r="C118" s="364"/>
      <c r="D118" s="364"/>
      <c r="E118" s="365"/>
    </row>
    <row r="119" spans="2:5" ht="12.75">
      <c r="B119" s="140" t="s">
        <v>285</v>
      </c>
      <c r="C119" s="141">
        <v>897261.73</v>
      </c>
      <c r="D119" s="155">
        <v>911897.71</v>
      </c>
      <c r="E119" s="253">
        <f aca="true" t="shared" si="4" ref="E119:E125">D119-C119</f>
        <v>14635.979999999981</v>
      </c>
    </row>
    <row r="120" spans="2:5" ht="12.75">
      <c r="B120" s="115" t="s">
        <v>637</v>
      </c>
      <c r="C120" s="5">
        <v>437942.89</v>
      </c>
      <c r="D120" s="34">
        <v>446233.66</v>
      </c>
      <c r="E120" s="53">
        <f t="shared" si="4"/>
        <v>8290.76999999996</v>
      </c>
    </row>
    <row r="121" spans="2:5" ht="12.75">
      <c r="B121" s="116" t="s">
        <v>364</v>
      </c>
      <c r="C121" s="65">
        <v>37683.4</v>
      </c>
      <c r="D121" s="70">
        <v>47872.74</v>
      </c>
      <c r="E121" s="53">
        <f t="shared" si="4"/>
        <v>10189.339999999997</v>
      </c>
    </row>
    <row r="122" spans="2:5" ht="12.75">
      <c r="B122" s="115" t="s">
        <v>633</v>
      </c>
      <c r="C122" s="94">
        <v>154220.01</v>
      </c>
      <c r="D122" s="83">
        <v>159104.79</v>
      </c>
      <c r="E122" s="53">
        <f t="shared" si="4"/>
        <v>4884.779999999999</v>
      </c>
    </row>
    <row r="123" spans="2:5" ht="12.75">
      <c r="B123" s="116" t="s">
        <v>29</v>
      </c>
      <c r="C123" s="94">
        <f>13125+2400+3600+21082.4</f>
        <v>40207.4</v>
      </c>
      <c r="D123" s="83">
        <f>13125+2400+3600+12820.4</f>
        <v>31945.4</v>
      </c>
      <c r="E123" s="53">
        <f t="shared" si="4"/>
        <v>-8262</v>
      </c>
    </row>
    <row r="124" spans="2:5" ht="12.75">
      <c r="B124" s="269" t="s">
        <v>59</v>
      </c>
      <c r="C124" s="122">
        <v>113502.95</v>
      </c>
      <c r="D124" s="122">
        <v>180524.82</v>
      </c>
      <c r="E124" s="204">
        <f t="shared" si="4"/>
        <v>67021.87000000001</v>
      </c>
    </row>
    <row r="125" spans="2:5" ht="13.5" thickBot="1">
      <c r="B125" s="157" t="s">
        <v>805</v>
      </c>
      <c r="C125" s="225">
        <f>22881.74+6967.7+7765.21+12211.4+7500+9400.43+10000+7608.84+10409.21</f>
        <v>94744.53</v>
      </c>
      <c r="D125" s="226">
        <f>25041.26+8499.53+7765.21+14751.36+8016.51+10916.49+14500.06+10906.39+11383.9</f>
        <v>111780.70999999999</v>
      </c>
      <c r="E125" s="262">
        <f t="shared" si="4"/>
        <v>17036.179999999993</v>
      </c>
    </row>
    <row r="126" spans="2:5" ht="13.5" thickBot="1">
      <c r="B126" s="153"/>
      <c r="C126" s="152">
        <f>SUM(C119:C125)</f>
        <v>1775562.91</v>
      </c>
      <c r="D126" s="138">
        <f>SUM(D119:D125)</f>
        <v>1889359.8299999998</v>
      </c>
      <c r="E126" s="206">
        <f>SUM(E119:E125)</f>
        <v>113796.91999999994</v>
      </c>
    </row>
    <row r="127" spans="2:5" ht="13.5" thickBot="1">
      <c r="B127" s="366" t="s">
        <v>379</v>
      </c>
      <c r="C127" s="367"/>
      <c r="D127" s="367"/>
      <c r="E127" s="368"/>
    </row>
    <row r="128" spans="2:5" ht="13.5" thickBot="1">
      <c r="B128" s="153"/>
      <c r="C128" s="117">
        <f>C90+C98+C107+C117+C126</f>
        <v>6981753.399999999</v>
      </c>
      <c r="D128" s="117">
        <f>D90+D98+D107+D117+D126</f>
        <v>7303298.51</v>
      </c>
      <c r="E128" s="117">
        <f>E90+E98+E107+E117+E126</f>
        <v>321545.11000000004</v>
      </c>
    </row>
  </sheetData>
  <sheetProtection/>
  <mergeCells count="23">
    <mergeCell ref="A6:E6"/>
    <mergeCell ref="A20:D20"/>
    <mergeCell ref="A21:D21"/>
    <mergeCell ref="D25:E25"/>
    <mergeCell ref="A2:B2"/>
    <mergeCell ref="C2:E2"/>
    <mergeCell ref="C3:E3"/>
    <mergeCell ref="B4:E4"/>
    <mergeCell ref="D77:E77"/>
    <mergeCell ref="D78:E78"/>
    <mergeCell ref="D79:E79"/>
    <mergeCell ref="D80:E80"/>
    <mergeCell ref="D73:E73"/>
    <mergeCell ref="D74:E74"/>
    <mergeCell ref="D75:E75"/>
    <mergeCell ref="D76:E76"/>
    <mergeCell ref="B108:E108"/>
    <mergeCell ref="B127:E127"/>
    <mergeCell ref="B118:E118"/>
    <mergeCell ref="D81:E81"/>
    <mergeCell ref="B84:E84"/>
    <mergeCell ref="B91:E91"/>
    <mergeCell ref="B99:E99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9.75390625" style="0" customWidth="1"/>
    <col min="3" max="3" width="13.875" style="0" customWidth="1"/>
    <col min="4" max="4" width="12.25390625" style="0" customWidth="1"/>
    <col min="5" max="5" width="14.25390625" style="0" customWidth="1"/>
  </cols>
  <sheetData>
    <row r="2" spans="1:5" ht="12.75">
      <c r="A2" s="23"/>
      <c r="C2" s="391" t="s">
        <v>83</v>
      </c>
      <c r="D2" s="392"/>
      <c r="E2" s="392"/>
    </row>
    <row r="3" spans="1:5" ht="20.25" customHeight="1">
      <c r="A3" s="23"/>
      <c r="B3" s="391" t="s">
        <v>803</v>
      </c>
      <c r="C3" s="392"/>
      <c r="D3" s="392"/>
      <c r="E3" s="392"/>
    </row>
    <row r="4" ht="18">
      <c r="B4" s="17" t="s">
        <v>120</v>
      </c>
    </row>
    <row r="5" spans="1:5" ht="15">
      <c r="A5" s="383" t="s">
        <v>439</v>
      </c>
      <c r="B5" s="384"/>
      <c r="C5" s="384"/>
      <c r="D5" s="384"/>
      <c r="E5" s="384"/>
    </row>
    <row r="6" spans="1:4" ht="15">
      <c r="A6" s="26"/>
      <c r="B6" s="27" t="s">
        <v>889</v>
      </c>
      <c r="C6" s="26"/>
      <c r="D6" s="24"/>
    </row>
    <row r="7" spans="1:4" ht="15">
      <c r="A7" s="26"/>
      <c r="B7" s="27" t="s">
        <v>115</v>
      </c>
      <c r="C7" s="38">
        <v>5555.9</v>
      </c>
      <c r="D7" s="92" t="s">
        <v>116</v>
      </c>
    </row>
    <row r="8" spans="1:4" ht="15">
      <c r="A8" s="26"/>
      <c r="B8" s="27" t="s">
        <v>654</v>
      </c>
      <c r="C8" s="93">
        <v>770.8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f>650411.68+8.16</f>
        <v>650419.8400000001</v>
      </c>
      <c r="D11" s="218">
        <f>683707.81+8.16</f>
        <v>683715.9700000001</v>
      </c>
      <c r="E11" s="242">
        <f aca="true" t="shared" si="0" ref="E11:E17">D11-C11</f>
        <v>33296.130000000005</v>
      </c>
    </row>
    <row r="12" spans="1:5" ht="12.75">
      <c r="A12" s="84">
        <v>2</v>
      </c>
      <c r="B12" s="5" t="s">
        <v>637</v>
      </c>
      <c r="C12" s="10">
        <v>319361.17</v>
      </c>
      <c r="D12" s="98">
        <v>337688.94</v>
      </c>
      <c r="E12" s="57">
        <f t="shared" si="0"/>
        <v>18327.77000000002</v>
      </c>
    </row>
    <row r="13" spans="1:5" ht="12.75">
      <c r="A13" s="84">
        <v>3</v>
      </c>
      <c r="B13" s="5" t="s">
        <v>364</v>
      </c>
      <c r="C13" s="10">
        <v>85133.67</v>
      </c>
      <c r="D13" s="98">
        <v>78190.69</v>
      </c>
      <c r="E13" s="57">
        <f t="shared" si="0"/>
        <v>-6942.979999999996</v>
      </c>
    </row>
    <row r="14" spans="1:5" ht="12.75">
      <c r="A14" s="84">
        <v>4</v>
      </c>
      <c r="B14" s="5" t="s">
        <v>633</v>
      </c>
      <c r="C14" s="10">
        <v>65628.97</v>
      </c>
      <c r="D14" s="98">
        <v>68604.84</v>
      </c>
      <c r="E14" s="57">
        <f t="shared" si="0"/>
        <v>2975.8699999999953</v>
      </c>
    </row>
    <row r="15" spans="1:5" ht="12.75">
      <c r="A15" s="84">
        <v>5</v>
      </c>
      <c r="B15" s="5" t="s">
        <v>29</v>
      </c>
      <c r="C15" s="10">
        <f>2400+3300+7800</f>
        <v>13500</v>
      </c>
      <c r="D15" s="98">
        <f>2400+3600+7800</f>
        <v>13800</v>
      </c>
      <c r="E15" s="57">
        <f t="shared" si="0"/>
        <v>300</v>
      </c>
    </row>
    <row r="16" spans="1:5" ht="12.75">
      <c r="A16" s="84">
        <v>6</v>
      </c>
      <c r="B16" s="5" t="s">
        <v>805</v>
      </c>
      <c r="C16" s="125">
        <f>23293.96+32329.1+11705.47+69406.56</f>
        <v>136735.09</v>
      </c>
      <c r="D16" s="125">
        <f>37393.62+32329.1+10829.77+69406.56</f>
        <v>149959.05</v>
      </c>
      <c r="E16" s="57">
        <f t="shared" si="0"/>
        <v>13223.959999999992</v>
      </c>
    </row>
    <row r="17" spans="1:5" ht="12.75" customHeight="1" thickBot="1">
      <c r="A17" s="261">
        <v>7</v>
      </c>
      <c r="B17" s="276" t="s">
        <v>1088</v>
      </c>
      <c r="C17" s="142">
        <v>6851.89</v>
      </c>
      <c r="D17" s="142">
        <v>6851.89</v>
      </c>
      <c r="E17" s="222">
        <f t="shared" si="0"/>
        <v>0</v>
      </c>
    </row>
    <row r="18" spans="1:5" ht="13.5" thickBot="1">
      <c r="A18" s="250"/>
      <c r="B18" s="251"/>
      <c r="C18" s="118">
        <f>SUM(C11:C17)</f>
        <v>1277630.63</v>
      </c>
      <c r="D18" s="118">
        <f>SUM(D11:D17)</f>
        <v>1338811.3800000001</v>
      </c>
      <c r="E18" s="137">
        <f>SUM(E11:E17)</f>
        <v>61180.750000000015</v>
      </c>
    </row>
    <row r="19" spans="1:5" ht="12.75">
      <c r="A19" s="385" t="s">
        <v>793</v>
      </c>
      <c r="B19" s="386"/>
      <c r="C19" s="386"/>
      <c r="D19" s="386"/>
      <c r="E19" s="108">
        <f>E139</f>
        <v>198551.96999999997</v>
      </c>
    </row>
    <row r="20" spans="1:5" ht="12.75">
      <c r="A20" s="387" t="s">
        <v>794</v>
      </c>
      <c r="B20" s="384"/>
      <c r="C20" s="384"/>
      <c r="D20" s="384"/>
      <c r="E20" s="22">
        <v>131646.88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25.5">
      <c r="A23" s="86">
        <v>1</v>
      </c>
      <c r="B23" s="64" t="s">
        <v>905</v>
      </c>
      <c r="C23" s="80">
        <f>C61</f>
        <v>866261.9</v>
      </c>
      <c r="E23" s="29"/>
    </row>
    <row r="24" spans="1:5" ht="25.5">
      <c r="A24" s="91">
        <v>2</v>
      </c>
      <c r="B24" s="25" t="s">
        <v>904</v>
      </c>
      <c r="C24" s="102">
        <f>C75</f>
        <v>38590.54</v>
      </c>
      <c r="D24" s="388"/>
      <c r="E24" s="389"/>
    </row>
    <row r="25" spans="1:5" ht="12.75">
      <c r="A25" s="84">
        <v>3</v>
      </c>
      <c r="B25" s="9" t="s">
        <v>649</v>
      </c>
      <c r="C25" s="48">
        <v>18449.3</v>
      </c>
      <c r="E25" s="29"/>
    </row>
    <row r="26" spans="1:5" ht="12.75">
      <c r="A26" s="84">
        <v>4</v>
      </c>
      <c r="B26" s="9" t="s">
        <v>122</v>
      </c>
      <c r="C26" s="48">
        <f>(C7*0.55*12)</f>
        <v>36668.94</v>
      </c>
      <c r="E26" s="29"/>
    </row>
    <row r="27" spans="1:5" ht="12.75">
      <c r="A27" s="84">
        <v>5</v>
      </c>
      <c r="B27" s="9" t="s">
        <v>658</v>
      </c>
      <c r="C27" s="79">
        <v>65866.32</v>
      </c>
      <c r="E27" s="29"/>
    </row>
    <row r="28" spans="1:5" ht="12.75">
      <c r="A28" s="84">
        <v>6</v>
      </c>
      <c r="B28" s="147" t="s">
        <v>337</v>
      </c>
      <c r="C28" s="96">
        <v>600</v>
      </c>
      <c r="E28" s="29"/>
    </row>
    <row r="29" spans="1:5" ht="12.75">
      <c r="A29" s="84">
        <v>7</v>
      </c>
      <c r="B29" s="346" t="s">
        <v>358</v>
      </c>
      <c r="C29" s="96">
        <v>2400</v>
      </c>
      <c r="E29" s="29"/>
    </row>
    <row r="30" spans="1:5" ht="12.75" customHeight="1">
      <c r="A30" s="84">
        <v>8</v>
      </c>
      <c r="B30" s="25" t="s">
        <v>1093</v>
      </c>
      <c r="C30" s="96">
        <v>4954.95</v>
      </c>
      <c r="E30" s="29"/>
    </row>
    <row r="31" spans="1:5" ht="25.5">
      <c r="A31" s="91">
        <v>9</v>
      </c>
      <c r="B31" s="25" t="s">
        <v>327</v>
      </c>
      <c r="C31" s="96">
        <v>6626.13</v>
      </c>
      <c r="D31" s="345"/>
      <c r="E31" s="345"/>
    </row>
    <row r="32" spans="1:5" ht="12.75">
      <c r="A32" s="84">
        <v>10</v>
      </c>
      <c r="B32" s="147" t="s">
        <v>230</v>
      </c>
      <c r="C32" s="96">
        <v>13000</v>
      </c>
      <c r="E32" s="29"/>
    </row>
    <row r="33" spans="1:5" ht="12.75">
      <c r="A33" s="84">
        <v>11</v>
      </c>
      <c r="B33" s="147" t="s">
        <v>335</v>
      </c>
      <c r="C33" s="79">
        <v>8400</v>
      </c>
      <c r="E33" s="29"/>
    </row>
    <row r="34" spans="1:3" ht="12.75">
      <c r="A34" s="50"/>
      <c r="B34" s="20" t="s">
        <v>629</v>
      </c>
      <c r="C34" s="51">
        <f>SUM(C23:C33)</f>
        <v>1061818.08</v>
      </c>
    </row>
    <row r="35" spans="1:3" ht="12.75">
      <c r="A35" s="49"/>
      <c r="B35" s="8" t="s">
        <v>965</v>
      </c>
      <c r="C35" s="45"/>
    </row>
    <row r="36" spans="1:3" ht="12.75">
      <c r="A36" s="84">
        <v>1</v>
      </c>
      <c r="B36" s="9" t="s">
        <v>228</v>
      </c>
      <c r="C36" s="48">
        <f>(C18)*15%</f>
        <v>191644.59449999998</v>
      </c>
    </row>
    <row r="37" spans="1:3" ht="12.75">
      <c r="A37" s="84">
        <v>2</v>
      </c>
      <c r="B37" s="9" t="s">
        <v>813</v>
      </c>
      <c r="C37" s="48">
        <f>C83</f>
        <v>12033.278263736984</v>
      </c>
    </row>
    <row r="38" spans="1:3" ht="12.75">
      <c r="A38" s="84">
        <v>3</v>
      </c>
      <c r="B38" s="9" t="s">
        <v>653</v>
      </c>
      <c r="C38" s="48">
        <f>C84</f>
        <v>13069.923211521711</v>
      </c>
    </row>
    <row r="39" spans="1:3" ht="12.75">
      <c r="A39" s="84">
        <v>4</v>
      </c>
      <c r="B39" s="9" t="s">
        <v>1114</v>
      </c>
      <c r="C39" s="52">
        <f>C85</f>
        <v>26532.466685874762</v>
      </c>
    </row>
    <row r="40" spans="1:3" ht="12.75">
      <c r="A40" s="84">
        <v>5</v>
      </c>
      <c r="B40" s="9" t="s">
        <v>162</v>
      </c>
      <c r="C40" s="52">
        <f>C86</f>
        <v>22076.573607900442</v>
      </c>
    </row>
    <row r="41" spans="1:3" ht="12.75">
      <c r="A41" s="84">
        <v>6</v>
      </c>
      <c r="B41" s="9" t="s">
        <v>1051</v>
      </c>
      <c r="C41" s="48">
        <f>C87+C89+C90+C91+C88</f>
        <v>37463.85208212977</v>
      </c>
    </row>
    <row r="42" spans="1:3" ht="12.75">
      <c r="A42" s="49"/>
      <c r="B42" s="74" t="s">
        <v>809</v>
      </c>
      <c r="C42" s="53"/>
    </row>
    <row r="43" spans="1:3" ht="12.75">
      <c r="A43" s="49"/>
      <c r="B43" s="5" t="s">
        <v>655</v>
      </c>
      <c r="C43" s="53"/>
    </row>
    <row r="44" spans="1:3" ht="12.75">
      <c r="A44" s="49"/>
      <c r="B44" s="74" t="s">
        <v>656</v>
      </c>
      <c r="C44" s="53"/>
    </row>
    <row r="45" spans="1:3" ht="12.75">
      <c r="A45" s="49"/>
      <c r="B45" s="74" t="s">
        <v>808</v>
      </c>
      <c r="C45" s="53"/>
    </row>
    <row r="46" spans="1:3" ht="12.75">
      <c r="A46" s="50"/>
      <c r="B46" s="20" t="s">
        <v>629</v>
      </c>
      <c r="C46" s="51">
        <f>C36+C37+C38+C39+C40+C41</f>
        <v>302820.68835116364</v>
      </c>
    </row>
    <row r="47" spans="1:3" ht="12.75">
      <c r="A47" s="49"/>
      <c r="B47" s="7" t="s">
        <v>966</v>
      </c>
      <c r="C47" s="45"/>
    </row>
    <row r="48" spans="1:3" ht="12.75">
      <c r="A48" s="84">
        <v>1</v>
      </c>
      <c r="B48" s="9" t="s">
        <v>631</v>
      </c>
      <c r="C48" s="48">
        <f>C18*2%</f>
        <v>25552.612599999997</v>
      </c>
    </row>
    <row r="49" spans="1:3" ht="12.75">
      <c r="A49" s="84">
        <v>2</v>
      </c>
      <c r="B49" s="9" t="s">
        <v>391</v>
      </c>
      <c r="C49" s="48">
        <f>C50</f>
        <v>75124.68104399998</v>
      </c>
    </row>
    <row r="50" spans="1:4" ht="12.75">
      <c r="A50" s="49"/>
      <c r="B50" s="5" t="s">
        <v>334</v>
      </c>
      <c r="C50" s="41">
        <f>(C18-C48)*6%</f>
        <v>75124.68104399998</v>
      </c>
      <c r="D50" s="19"/>
    </row>
    <row r="51" spans="1:3" ht="13.5" thickBot="1">
      <c r="A51" s="54"/>
      <c r="B51" s="55" t="s">
        <v>967</v>
      </c>
      <c r="C51" s="56">
        <f>C48+C49</f>
        <v>100677.29364399998</v>
      </c>
    </row>
    <row r="52" spans="1:3" ht="12.75">
      <c r="A52" s="23"/>
      <c r="B52" s="4" t="s">
        <v>288</v>
      </c>
      <c r="C52" s="11">
        <f>C34+C46+C51</f>
        <v>1465316.0619951638</v>
      </c>
    </row>
    <row r="53" spans="1:3" ht="12.75">
      <c r="A53" s="23"/>
      <c r="B53" s="77"/>
      <c r="C53" s="1"/>
    </row>
    <row r="54" spans="1:3" ht="15">
      <c r="A54" s="23"/>
      <c r="B54" s="14" t="s">
        <v>975</v>
      </c>
      <c r="C54" s="11">
        <v>234848.17</v>
      </c>
    </row>
    <row r="55" spans="1:3" ht="15">
      <c r="A55" s="23"/>
      <c r="B55" s="14" t="s">
        <v>94</v>
      </c>
      <c r="C55" s="11">
        <f>C18+C54-C52</f>
        <v>47162.73800483602</v>
      </c>
    </row>
    <row r="56" ht="12.75">
      <c r="B56" s="1" t="s">
        <v>85</v>
      </c>
    </row>
    <row r="57" ht="15.75" customHeight="1">
      <c r="B57" s="1" t="s">
        <v>1197</v>
      </c>
    </row>
    <row r="58" spans="1:4" ht="12.75">
      <c r="A58" s="2"/>
      <c r="B58" s="2"/>
      <c r="C58" s="2" t="s">
        <v>790</v>
      </c>
      <c r="D58" s="2"/>
    </row>
    <row r="59" spans="1:4" ht="12.75">
      <c r="A59" s="2"/>
      <c r="B59" s="2"/>
      <c r="C59" s="2" t="s">
        <v>901</v>
      </c>
      <c r="D59" s="2"/>
    </row>
    <row r="60" spans="1:5" ht="13.5" thickBot="1">
      <c r="A60" s="37"/>
      <c r="B60" s="37" t="s">
        <v>969</v>
      </c>
      <c r="C60" s="32" t="s">
        <v>886</v>
      </c>
      <c r="D60" s="114">
        <f>C7+C8</f>
        <v>6326.7</v>
      </c>
      <c r="E60" t="s">
        <v>116</v>
      </c>
    </row>
    <row r="61" spans="1:5" ht="12.75">
      <c r="A61" s="60" t="s">
        <v>218</v>
      </c>
      <c r="B61" s="39" t="s">
        <v>832</v>
      </c>
      <c r="C61" s="47">
        <v>866261.9</v>
      </c>
      <c r="D61" s="15"/>
      <c r="E61" s="21"/>
    </row>
    <row r="62" spans="1:5" ht="12.75">
      <c r="A62" s="61"/>
      <c r="B62" s="6" t="s">
        <v>118</v>
      </c>
      <c r="C62" s="41"/>
      <c r="D62" s="15"/>
      <c r="E62" s="21"/>
    </row>
    <row r="63" spans="1:5" ht="12.75">
      <c r="A63" s="62" t="s">
        <v>166</v>
      </c>
      <c r="B63" s="6" t="s">
        <v>380</v>
      </c>
      <c r="C63" s="41">
        <v>23907.4</v>
      </c>
      <c r="D63" s="15"/>
      <c r="E63" s="15"/>
    </row>
    <row r="64" spans="1:5" ht="12.75">
      <c r="A64" s="62" t="s">
        <v>166</v>
      </c>
      <c r="B64" s="6" t="s">
        <v>200</v>
      </c>
      <c r="C64" s="41">
        <v>5808.8</v>
      </c>
      <c r="D64" s="15"/>
      <c r="E64" s="15"/>
    </row>
    <row r="65" spans="1:5" ht="12.75">
      <c r="A65" s="62" t="s">
        <v>166</v>
      </c>
      <c r="B65" s="6" t="s">
        <v>900</v>
      </c>
      <c r="C65" s="41">
        <v>76434.05</v>
      </c>
      <c r="D65" s="15"/>
      <c r="E65" s="15"/>
    </row>
    <row r="66" spans="1:5" ht="12.75">
      <c r="A66" s="62" t="s">
        <v>166</v>
      </c>
      <c r="B66" s="6" t="s">
        <v>341</v>
      </c>
      <c r="C66" s="41">
        <v>139804.11</v>
      </c>
      <c r="D66" s="15"/>
      <c r="E66" s="15"/>
    </row>
    <row r="67" spans="1:5" ht="12.75">
      <c r="A67" s="62" t="s">
        <v>166</v>
      </c>
      <c r="B67" s="6" t="s">
        <v>1186</v>
      </c>
      <c r="C67" s="41">
        <v>159122.45</v>
      </c>
      <c r="D67" s="15"/>
      <c r="E67" s="15"/>
    </row>
    <row r="68" spans="1:5" ht="12.75">
      <c r="A68" s="62" t="s">
        <v>166</v>
      </c>
      <c r="B68" s="6" t="s">
        <v>902</v>
      </c>
      <c r="C68" s="41">
        <v>20550.67</v>
      </c>
      <c r="D68" s="15"/>
      <c r="E68" s="15"/>
    </row>
    <row r="69" spans="1:5" ht="12.75">
      <c r="A69" s="62" t="s">
        <v>166</v>
      </c>
      <c r="B69" s="6" t="s">
        <v>634</v>
      </c>
      <c r="C69" s="41">
        <v>81341.03</v>
      </c>
      <c r="D69" s="15"/>
      <c r="E69" s="15"/>
    </row>
    <row r="70" spans="1:5" ht="12.75">
      <c r="A70" s="62" t="s">
        <v>166</v>
      </c>
      <c r="B70" s="6" t="s">
        <v>277</v>
      </c>
      <c r="C70" s="41">
        <v>1950</v>
      </c>
      <c r="D70" s="15"/>
      <c r="E70" s="15"/>
    </row>
    <row r="71" spans="1:5" ht="12.75">
      <c r="A71" s="62" t="s">
        <v>166</v>
      </c>
      <c r="B71" s="6" t="s">
        <v>210</v>
      </c>
      <c r="C71" s="41">
        <v>26100.81</v>
      </c>
      <c r="D71" s="15"/>
      <c r="E71" s="15"/>
    </row>
    <row r="72" spans="1:5" ht="12.75">
      <c r="A72" s="62" t="s">
        <v>166</v>
      </c>
      <c r="B72" s="6" t="s">
        <v>276</v>
      </c>
      <c r="C72" s="41">
        <v>650</v>
      </c>
      <c r="D72" s="15"/>
      <c r="E72" s="15"/>
    </row>
    <row r="73" spans="1:5" ht="12.75">
      <c r="A73" s="62" t="s">
        <v>166</v>
      </c>
      <c r="B73" s="6" t="s">
        <v>693</v>
      </c>
      <c r="C73" s="41">
        <v>5525</v>
      </c>
      <c r="D73" s="15"/>
      <c r="E73" s="15"/>
    </row>
    <row r="74" spans="1:5" ht="13.5" thickBot="1">
      <c r="A74" s="63" t="s">
        <v>166</v>
      </c>
      <c r="B74" s="42" t="s">
        <v>818</v>
      </c>
      <c r="C74" s="46">
        <v>1178.61</v>
      </c>
      <c r="D74" s="15"/>
      <c r="E74" s="15"/>
    </row>
    <row r="75" spans="1:5" ht="12.75">
      <c r="A75" s="60" t="s">
        <v>328</v>
      </c>
      <c r="B75" s="39" t="s">
        <v>343</v>
      </c>
      <c r="C75" s="47">
        <v>38590.54</v>
      </c>
      <c r="D75" s="15"/>
      <c r="E75" s="12"/>
    </row>
    <row r="76" spans="1:5" ht="12.75">
      <c r="A76" s="61"/>
      <c r="B76" s="6" t="s">
        <v>118</v>
      </c>
      <c r="C76" s="41"/>
      <c r="D76" s="15"/>
      <c r="E76" s="12"/>
    </row>
    <row r="77" spans="1:5" ht="12.75">
      <c r="A77" s="62" t="s">
        <v>166</v>
      </c>
      <c r="B77" s="6" t="s">
        <v>380</v>
      </c>
      <c r="C77" s="41">
        <v>2331</v>
      </c>
      <c r="D77" s="15"/>
      <c r="E77" s="12"/>
    </row>
    <row r="78" spans="1:5" ht="12.75">
      <c r="A78" s="62" t="s">
        <v>166</v>
      </c>
      <c r="B78" s="6" t="s">
        <v>903</v>
      </c>
      <c r="C78" s="41">
        <v>12472.05</v>
      </c>
      <c r="D78" s="15"/>
      <c r="E78" s="12"/>
    </row>
    <row r="79" spans="1:5" ht="12.75">
      <c r="A79" s="62" t="s">
        <v>166</v>
      </c>
      <c r="B79" s="6" t="s">
        <v>1155</v>
      </c>
      <c r="C79" s="41">
        <v>672.79</v>
      </c>
      <c r="D79" s="15"/>
      <c r="E79" s="12"/>
    </row>
    <row r="80" spans="1:5" ht="13.5" thickBot="1">
      <c r="A80" s="63" t="s">
        <v>166</v>
      </c>
      <c r="B80" s="42" t="s">
        <v>818</v>
      </c>
      <c r="C80" s="46">
        <v>317.69</v>
      </c>
      <c r="D80" s="15"/>
      <c r="E80" s="15"/>
    </row>
    <row r="81" spans="1:5" ht="12.75">
      <c r="A81" s="300" t="s">
        <v>787</v>
      </c>
      <c r="B81" s="97" t="s">
        <v>1050</v>
      </c>
      <c r="C81" s="82">
        <f>C82+C83+C85+C84+C86+C87+C89+C90+C91+C88</f>
        <v>302820.6883511636</v>
      </c>
      <c r="D81" s="15"/>
      <c r="E81" s="12"/>
    </row>
    <row r="82" spans="1:5" ht="13.5" thickBot="1">
      <c r="A82" s="40" t="s">
        <v>166</v>
      </c>
      <c r="B82" s="6" t="s">
        <v>227</v>
      </c>
      <c r="C82" s="41">
        <f>C36</f>
        <v>191644.59449999998</v>
      </c>
      <c r="D82" s="15"/>
      <c r="E82" s="12"/>
    </row>
    <row r="83" spans="1:5" ht="12.75">
      <c r="A83" s="40" t="s">
        <v>166</v>
      </c>
      <c r="B83" s="6" t="s">
        <v>370</v>
      </c>
      <c r="C83" s="317">
        <f>401410.25/185335.63*C7</f>
        <v>12033.278263736984</v>
      </c>
      <c r="D83" s="375" t="s">
        <v>890</v>
      </c>
      <c r="E83" s="376"/>
    </row>
    <row r="84" spans="1:5" ht="12.75">
      <c r="A84" s="73" t="s">
        <v>166</v>
      </c>
      <c r="B84" s="74" t="s">
        <v>397</v>
      </c>
      <c r="C84" s="317">
        <f>435991.01/185335.63*C7</f>
        <v>13069.923211521711</v>
      </c>
      <c r="D84" s="377" t="s">
        <v>891</v>
      </c>
      <c r="E84" s="378"/>
    </row>
    <row r="85" spans="1:5" ht="12.75">
      <c r="A85" s="71" t="s">
        <v>166</v>
      </c>
      <c r="B85" s="72" t="s">
        <v>416</v>
      </c>
      <c r="C85" s="317">
        <f>1082167/226605.83*C7</f>
        <v>26532.466685874762</v>
      </c>
      <c r="D85" s="379" t="s">
        <v>892</v>
      </c>
      <c r="E85" s="380"/>
    </row>
    <row r="86" spans="1:5" ht="25.5">
      <c r="A86" s="73" t="s">
        <v>166</v>
      </c>
      <c r="B86" s="72" t="s">
        <v>676</v>
      </c>
      <c r="C86" s="318">
        <f>845684.35/242356.05*D60</f>
        <v>22076.573607900442</v>
      </c>
      <c r="D86" s="381" t="s">
        <v>893</v>
      </c>
      <c r="E86" s="382"/>
    </row>
    <row r="87" spans="1:5" ht="12.75">
      <c r="A87" s="73" t="s">
        <v>166</v>
      </c>
      <c r="B87" s="74" t="s">
        <v>808</v>
      </c>
      <c r="C87" s="318">
        <f>642562.44/242356.05*D60</f>
        <v>16774.080074122347</v>
      </c>
      <c r="D87" s="371" t="s">
        <v>894</v>
      </c>
      <c r="E87" s="372"/>
    </row>
    <row r="88" spans="1:5" ht="12.75">
      <c r="A88" s="73" t="s">
        <v>166</v>
      </c>
      <c r="B88" s="74" t="s">
        <v>826</v>
      </c>
      <c r="C88" s="318">
        <f>51615/196822.43*D60</f>
        <v>1659.122999853218</v>
      </c>
      <c r="D88" s="371" t="s">
        <v>895</v>
      </c>
      <c r="E88" s="372"/>
    </row>
    <row r="89" spans="1:5" ht="12.75">
      <c r="A89" s="73" t="s">
        <v>166</v>
      </c>
      <c r="B89" s="74" t="s">
        <v>655</v>
      </c>
      <c r="C89" s="318">
        <f>129011.28/196822.43*D60</f>
        <v>4146.964678649684</v>
      </c>
      <c r="D89" s="371" t="s">
        <v>896</v>
      </c>
      <c r="E89" s="372"/>
    </row>
    <row r="90" spans="1:5" ht="12.75">
      <c r="A90" s="73" t="s">
        <v>166</v>
      </c>
      <c r="B90" s="74" t="s">
        <v>656</v>
      </c>
      <c r="C90" s="318">
        <f>164128/196822.43*D60</f>
        <v>5275.763629175801</v>
      </c>
      <c r="D90" s="373" t="s">
        <v>897</v>
      </c>
      <c r="E90" s="374"/>
    </row>
    <row r="91" spans="1:5" ht="13.5" thickBot="1">
      <c r="A91" s="75" t="s">
        <v>166</v>
      </c>
      <c r="B91" s="76" t="s">
        <v>809</v>
      </c>
      <c r="C91" s="319">
        <f>298900.58/196822.43*D60</f>
        <v>9607.920700328717</v>
      </c>
      <c r="D91" s="369" t="s">
        <v>898</v>
      </c>
      <c r="E91" s="370"/>
    </row>
    <row r="92" ht="13.5" thickBot="1"/>
    <row r="93" spans="2:5" ht="26.25" thickBot="1">
      <c r="B93" s="143"/>
      <c r="C93" s="205" t="s">
        <v>104</v>
      </c>
      <c r="D93" s="236" t="s">
        <v>306</v>
      </c>
      <c r="E93" s="130" t="s">
        <v>305</v>
      </c>
    </row>
    <row r="94" spans="2:5" ht="13.5" thickBot="1">
      <c r="B94" s="363" t="s">
        <v>1054</v>
      </c>
      <c r="C94" s="364"/>
      <c r="D94" s="364"/>
      <c r="E94" s="365"/>
    </row>
    <row r="95" spans="2:5" ht="12.75">
      <c r="B95" s="140" t="s">
        <v>285</v>
      </c>
      <c r="C95" s="223">
        <v>459248.32</v>
      </c>
      <c r="D95" s="285">
        <v>569823.54</v>
      </c>
      <c r="E95" s="242">
        <f>D95-C95</f>
        <v>110575.22000000003</v>
      </c>
    </row>
    <row r="96" spans="2:5" ht="12.75">
      <c r="B96" s="115" t="s">
        <v>637</v>
      </c>
      <c r="C96" s="28">
        <v>214702.54</v>
      </c>
      <c r="D96" s="88">
        <v>277069.12</v>
      </c>
      <c r="E96" s="57">
        <f>D96-C96</f>
        <v>62366.57999999999</v>
      </c>
    </row>
    <row r="97" spans="2:5" ht="12.75">
      <c r="B97" s="116" t="s">
        <v>232</v>
      </c>
      <c r="C97" s="89">
        <v>43883.02</v>
      </c>
      <c r="D97" s="90">
        <v>81319.76</v>
      </c>
      <c r="E97" s="57">
        <f>D97-C97</f>
        <v>37436.74</v>
      </c>
    </row>
    <row r="98" spans="2:5" ht="12.75">
      <c r="B98" s="116" t="s">
        <v>113</v>
      </c>
      <c r="C98" s="90">
        <v>164.7</v>
      </c>
      <c r="D98" s="90">
        <v>1212</v>
      </c>
      <c r="E98" s="57">
        <f>D98-C98</f>
        <v>1047.3</v>
      </c>
    </row>
    <row r="99" spans="2:5" ht="13.5" thickBot="1">
      <c r="B99" s="157" t="s">
        <v>633</v>
      </c>
      <c r="C99" s="284">
        <v>5464.73</v>
      </c>
      <c r="D99" s="284">
        <v>10096.5</v>
      </c>
      <c r="E99" s="222">
        <f>D99-C99</f>
        <v>4631.77</v>
      </c>
    </row>
    <row r="100" spans="2:5" ht="13.5" thickBot="1">
      <c r="B100" s="153"/>
      <c r="C100" s="173">
        <f>SUM(C95:C99)</f>
        <v>723463.3099999999</v>
      </c>
      <c r="D100" s="174">
        <f>SUM(D95:D99)</f>
        <v>939520.92</v>
      </c>
      <c r="E100" s="158">
        <f>SUM(E95:E99)</f>
        <v>216057.61</v>
      </c>
    </row>
    <row r="101" spans="2:5" ht="13.5" thickBot="1">
      <c r="B101" s="363" t="s">
        <v>168</v>
      </c>
      <c r="C101" s="364"/>
      <c r="D101" s="364"/>
      <c r="E101" s="365"/>
    </row>
    <row r="102" spans="2:5" ht="12.75">
      <c r="B102" s="140" t="s">
        <v>285</v>
      </c>
      <c r="C102" s="223">
        <v>600964.21</v>
      </c>
      <c r="D102" s="285">
        <v>579973.32</v>
      </c>
      <c r="E102" s="242">
        <f aca="true" t="shared" si="1" ref="E102:E107">D102-C102</f>
        <v>-20990.890000000014</v>
      </c>
    </row>
    <row r="103" spans="2:5" ht="12.75">
      <c r="B103" s="115" t="s">
        <v>637</v>
      </c>
      <c r="C103" s="28">
        <v>292533.67</v>
      </c>
      <c r="D103" s="88">
        <v>281987.4</v>
      </c>
      <c r="E103" s="57">
        <f t="shared" si="1"/>
        <v>-10546.26999999996</v>
      </c>
    </row>
    <row r="104" spans="2:5" ht="12.75">
      <c r="B104" s="116" t="s">
        <v>232</v>
      </c>
      <c r="C104" s="89">
        <v>150547.92</v>
      </c>
      <c r="D104" s="90">
        <v>145849.15</v>
      </c>
      <c r="E104" s="57">
        <f t="shared" si="1"/>
        <v>-4698.770000000019</v>
      </c>
    </row>
    <row r="105" spans="2:5" ht="12.75">
      <c r="B105" s="116" t="s">
        <v>377</v>
      </c>
      <c r="C105" s="90">
        <v>0</v>
      </c>
      <c r="D105" s="90">
        <v>2600</v>
      </c>
      <c r="E105" s="57">
        <f t="shared" si="1"/>
        <v>2600</v>
      </c>
    </row>
    <row r="106" spans="2:5" ht="12.75">
      <c r="B106" s="116" t="s">
        <v>113</v>
      </c>
      <c r="C106" s="90">
        <v>5561.26</v>
      </c>
      <c r="D106" s="90">
        <v>4680</v>
      </c>
      <c r="E106" s="57">
        <f t="shared" si="1"/>
        <v>-881.2600000000002</v>
      </c>
    </row>
    <row r="107" spans="2:5" ht="13.5" thickBot="1">
      <c r="B107" s="157" t="s">
        <v>633</v>
      </c>
      <c r="C107" s="284">
        <v>39417.04</v>
      </c>
      <c r="D107" s="284">
        <v>43021.8</v>
      </c>
      <c r="E107" s="222">
        <f t="shared" si="1"/>
        <v>3604.760000000002</v>
      </c>
    </row>
    <row r="108" spans="2:5" ht="13.5" thickBot="1">
      <c r="B108" s="343"/>
      <c r="C108" s="173">
        <f>SUM(C102:C107)</f>
        <v>1089024.0999999999</v>
      </c>
      <c r="D108" s="174">
        <f>SUM(D102:D107)</f>
        <v>1058111.67</v>
      </c>
      <c r="E108" s="158">
        <f>SUM(E102:E107)</f>
        <v>-30912.429999999993</v>
      </c>
    </row>
    <row r="109" spans="2:5" ht="13.5" thickBot="1">
      <c r="B109" s="363" t="s">
        <v>302</v>
      </c>
      <c r="C109" s="364"/>
      <c r="D109" s="364"/>
      <c r="E109" s="365"/>
    </row>
    <row r="110" spans="2:5" ht="12.75">
      <c r="B110" s="140" t="s">
        <v>285</v>
      </c>
      <c r="C110" s="234">
        <v>631171.4</v>
      </c>
      <c r="D110" s="155">
        <v>642817.63</v>
      </c>
      <c r="E110" s="242">
        <f aca="true" t="shared" si="2" ref="E110:E117">D110-C110</f>
        <v>11646.229999999981</v>
      </c>
    </row>
    <row r="111" spans="2:5" ht="12.75">
      <c r="B111" s="115" t="s">
        <v>637</v>
      </c>
      <c r="C111" s="10">
        <v>306522.45</v>
      </c>
      <c r="D111" s="34">
        <v>312574.93</v>
      </c>
      <c r="E111" s="57">
        <f t="shared" si="2"/>
        <v>6052.479999999981</v>
      </c>
    </row>
    <row r="112" spans="2:5" ht="12.75">
      <c r="B112" s="116" t="s">
        <v>232</v>
      </c>
      <c r="C112" s="67">
        <v>130386.81</v>
      </c>
      <c r="D112" s="83">
        <v>133448.14</v>
      </c>
      <c r="E112" s="57">
        <f t="shared" si="2"/>
        <v>3061.3300000000163</v>
      </c>
    </row>
    <row r="113" spans="2:5" ht="12.75">
      <c r="B113" s="116" t="s">
        <v>377</v>
      </c>
      <c r="C113" s="94">
        <v>10400</v>
      </c>
      <c r="D113" s="83">
        <v>6500</v>
      </c>
      <c r="E113" s="57">
        <f t="shared" si="2"/>
        <v>-3900</v>
      </c>
    </row>
    <row r="114" spans="2:5" ht="12.75">
      <c r="B114" s="115" t="s">
        <v>364</v>
      </c>
      <c r="C114" s="94">
        <v>68066.93</v>
      </c>
      <c r="D114" s="83">
        <v>96991.25</v>
      </c>
      <c r="E114" s="57">
        <f t="shared" si="2"/>
        <v>28924.320000000007</v>
      </c>
    </row>
    <row r="115" spans="2:5" ht="12.75">
      <c r="B115" s="116" t="s">
        <v>113</v>
      </c>
      <c r="C115" s="94">
        <v>110.43</v>
      </c>
      <c r="D115" s="83">
        <v>0</v>
      </c>
      <c r="E115" s="57">
        <f t="shared" si="2"/>
        <v>-110.43</v>
      </c>
    </row>
    <row r="116" spans="2:5" ht="12.75">
      <c r="B116" s="115" t="s">
        <v>1200</v>
      </c>
      <c r="C116" s="94">
        <v>41340.76</v>
      </c>
      <c r="D116" s="83">
        <v>41340.76</v>
      </c>
      <c r="E116" s="57">
        <f t="shared" si="2"/>
        <v>0</v>
      </c>
    </row>
    <row r="117" spans="2:5" ht="13.5" thickBot="1">
      <c r="B117" s="157" t="s">
        <v>633</v>
      </c>
      <c r="C117" s="247">
        <v>54886.08</v>
      </c>
      <c r="D117" s="226">
        <v>58699.6</v>
      </c>
      <c r="E117" s="222">
        <f t="shared" si="2"/>
        <v>3813.519999999997</v>
      </c>
    </row>
    <row r="118" spans="2:5" ht="13.5" thickBot="1">
      <c r="B118" s="343"/>
      <c r="C118" s="173">
        <f>SUM(C110:C117)</f>
        <v>1242884.86</v>
      </c>
      <c r="D118" s="174">
        <f>SUM(D110:D117)</f>
        <v>1292372.3100000003</v>
      </c>
      <c r="E118" s="158">
        <f>SUM(E110:E117)</f>
        <v>49487.44999999998</v>
      </c>
    </row>
    <row r="119" spans="2:5" ht="13.5" thickBot="1">
      <c r="B119" s="363" t="s">
        <v>448</v>
      </c>
      <c r="C119" s="364"/>
      <c r="D119" s="364"/>
      <c r="E119" s="365"/>
    </row>
    <row r="120" spans="2:5" ht="12.75">
      <c r="B120" s="140" t="s">
        <v>285</v>
      </c>
      <c r="C120" s="223">
        <v>145565</v>
      </c>
      <c r="D120" s="285">
        <v>109229.06</v>
      </c>
      <c r="E120" s="242">
        <f aca="true" t="shared" si="3" ref="E120:E127">D120-C120</f>
        <v>-36335.94</v>
      </c>
    </row>
    <row r="121" spans="2:5" ht="12.75">
      <c r="B121" s="115" t="s">
        <v>637</v>
      </c>
      <c r="C121" s="28">
        <v>71266.88</v>
      </c>
      <c r="D121" s="88">
        <v>53114.44</v>
      </c>
      <c r="E121" s="57">
        <f t="shared" si="3"/>
        <v>-18152.440000000002</v>
      </c>
    </row>
    <row r="122" spans="2:5" ht="12.75">
      <c r="B122" s="116" t="s">
        <v>232</v>
      </c>
      <c r="C122" s="89">
        <v>48519.55</v>
      </c>
      <c r="D122" s="90">
        <v>20941.98</v>
      </c>
      <c r="E122" s="57">
        <f t="shared" si="3"/>
        <v>-27577.570000000003</v>
      </c>
    </row>
    <row r="123" spans="2:5" ht="12.75">
      <c r="B123" s="116" t="s">
        <v>377</v>
      </c>
      <c r="C123" s="90">
        <v>0</v>
      </c>
      <c r="D123" s="90">
        <v>1300</v>
      </c>
      <c r="E123" s="57">
        <f t="shared" si="3"/>
        <v>1300</v>
      </c>
    </row>
    <row r="124" spans="2:5" ht="12.75">
      <c r="B124" s="115" t="s">
        <v>364</v>
      </c>
      <c r="C124" s="90">
        <v>50840.81</v>
      </c>
      <c r="D124" s="90">
        <v>38796.5</v>
      </c>
      <c r="E124" s="57">
        <f t="shared" si="3"/>
        <v>-12044.309999999998</v>
      </c>
    </row>
    <row r="125" spans="2:5" ht="12.75">
      <c r="B125" s="116" t="s">
        <v>113</v>
      </c>
      <c r="C125" s="90">
        <v>122.6</v>
      </c>
      <c r="D125" s="90">
        <v>0</v>
      </c>
      <c r="E125" s="57">
        <f t="shared" si="3"/>
        <v>-122.6</v>
      </c>
    </row>
    <row r="126" spans="2:5" ht="12.75">
      <c r="B126" s="278" t="s">
        <v>792</v>
      </c>
      <c r="C126" s="90">
        <v>600</v>
      </c>
      <c r="D126" s="90">
        <v>800</v>
      </c>
      <c r="E126" s="57">
        <f t="shared" si="3"/>
        <v>200</v>
      </c>
    </row>
    <row r="127" spans="2:5" ht="13.5" thickBot="1">
      <c r="B127" s="157" t="s">
        <v>633</v>
      </c>
      <c r="C127" s="284">
        <v>15250.91</v>
      </c>
      <c r="D127" s="284">
        <v>10722.36</v>
      </c>
      <c r="E127" s="222">
        <f t="shared" si="3"/>
        <v>-4528.549999999999</v>
      </c>
    </row>
    <row r="128" spans="2:5" ht="13.5" thickBot="1">
      <c r="B128" s="343"/>
      <c r="C128" s="173">
        <f>SUM(C120:C127)</f>
        <v>332165.74999999994</v>
      </c>
      <c r="D128" s="174">
        <f>SUM(D120:D127)</f>
        <v>234904.34000000003</v>
      </c>
      <c r="E128" s="158">
        <f>SUM(E120:E127)</f>
        <v>-97261.41000000002</v>
      </c>
    </row>
    <row r="129" spans="2:5" ht="13.5" thickBot="1">
      <c r="B129" s="363" t="s">
        <v>87</v>
      </c>
      <c r="C129" s="364"/>
      <c r="D129" s="364"/>
      <c r="E129" s="365"/>
    </row>
    <row r="130" spans="2:5" ht="12.75">
      <c r="B130" s="140" t="s">
        <v>285</v>
      </c>
      <c r="C130" s="234">
        <f>650411.68+8.16</f>
        <v>650419.8400000001</v>
      </c>
      <c r="D130" s="218">
        <f>683707.81+8.16</f>
        <v>683715.9700000001</v>
      </c>
      <c r="E130" s="242">
        <f aca="true" t="shared" si="4" ref="E130:E136">D130-C130</f>
        <v>33296.130000000005</v>
      </c>
    </row>
    <row r="131" spans="2:5" ht="12.75">
      <c r="B131" s="115" t="s">
        <v>637</v>
      </c>
      <c r="C131" s="10">
        <v>319361.17</v>
      </c>
      <c r="D131" s="98">
        <v>337688.94</v>
      </c>
      <c r="E131" s="57">
        <f t="shared" si="4"/>
        <v>18327.77000000002</v>
      </c>
    </row>
    <row r="132" spans="2:5" ht="12.75">
      <c r="B132" s="115" t="s">
        <v>364</v>
      </c>
      <c r="C132" s="10">
        <v>85133.67</v>
      </c>
      <c r="D132" s="98">
        <v>78190.69</v>
      </c>
      <c r="E132" s="57">
        <f t="shared" si="4"/>
        <v>-6942.979999999996</v>
      </c>
    </row>
    <row r="133" spans="2:5" ht="12.75">
      <c r="B133" s="115" t="s">
        <v>633</v>
      </c>
      <c r="C133" s="10">
        <v>65628.97</v>
      </c>
      <c r="D133" s="98">
        <v>68604.84</v>
      </c>
      <c r="E133" s="57">
        <f t="shared" si="4"/>
        <v>2975.8699999999953</v>
      </c>
    </row>
    <row r="134" spans="2:5" ht="12.75">
      <c r="B134" s="115" t="s">
        <v>29</v>
      </c>
      <c r="C134" s="10">
        <f>2400+3300+7800</f>
        <v>13500</v>
      </c>
      <c r="D134" s="98">
        <f>2400+3600+7800</f>
        <v>13800</v>
      </c>
      <c r="E134" s="57">
        <f t="shared" si="4"/>
        <v>300</v>
      </c>
    </row>
    <row r="135" spans="2:5" ht="12.75">
      <c r="B135" s="115" t="s">
        <v>805</v>
      </c>
      <c r="C135" s="125">
        <f>23293.96+32329.1+11705.47+69406.56</f>
        <v>136735.09</v>
      </c>
      <c r="D135" s="125">
        <f>37393.62+32329.1+10829.77+69406.56</f>
        <v>149959.05</v>
      </c>
      <c r="E135" s="66">
        <f t="shared" si="4"/>
        <v>13223.959999999992</v>
      </c>
    </row>
    <row r="136" spans="2:5" ht="13.5" thickBot="1">
      <c r="B136" s="266" t="s">
        <v>1088</v>
      </c>
      <c r="C136" s="142">
        <v>6851.89</v>
      </c>
      <c r="D136" s="142">
        <v>6851.89</v>
      </c>
      <c r="E136" s="222">
        <f t="shared" si="4"/>
        <v>0</v>
      </c>
    </row>
    <row r="137" spans="2:5" ht="13.5" thickBot="1">
      <c r="B137" s="153"/>
      <c r="C137" s="152">
        <f>SUM(C130:C136)</f>
        <v>1277630.63</v>
      </c>
      <c r="D137" s="138">
        <f>SUM(D130:D136)</f>
        <v>1338811.3800000001</v>
      </c>
      <c r="E137" s="139">
        <f>SUM(E130:E136)</f>
        <v>61180.750000000015</v>
      </c>
    </row>
    <row r="138" spans="2:5" ht="13.5" thickBot="1">
      <c r="B138" s="366" t="s">
        <v>379</v>
      </c>
      <c r="C138" s="367"/>
      <c r="D138" s="367"/>
      <c r="E138" s="421"/>
    </row>
    <row r="139" spans="2:5" ht="13.5" thickBot="1">
      <c r="B139" s="343"/>
      <c r="C139" s="176">
        <f>C100+C108+C118+C128+C137</f>
        <v>4665168.649999999</v>
      </c>
      <c r="D139" s="176">
        <f>D100+D108+D118+D128+D137</f>
        <v>4863720.62</v>
      </c>
      <c r="E139" s="176">
        <f>E100+E108+E118+E128+E137</f>
        <v>198551.96999999997</v>
      </c>
    </row>
  </sheetData>
  <sheetProtection/>
  <mergeCells count="21">
    <mergeCell ref="C2:E2"/>
    <mergeCell ref="B3:E3"/>
    <mergeCell ref="A5:E5"/>
    <mergeCell ref="A19:D19"/>
    <mergeCell ref="A20:D20"/>
    <mergeCell ref="B94:E94"/>
    <mergeCell ref="D86:E86"/>
    <mergeCell ref="D87:E87"/>
    <mergeCell ref="D88:E88"/>
    <mergeCell ref="D89:E89"/>
    <mergeCell ref="D24:E24"/>
    <mergeCell ref="D83:E83"/>
    <mergeCell ref="D84:E84"/>
    <mergeCell ref="D85:E85"/>
    <mergeCell ref="B101:E101"/>
    <mergeCell ref="B109:E109"/>
    <mergeCell ref="B119:E119"/>
    <mergeCell ref="B138:E138"/>
    <mergeCell ref="B129:E129"/>
    <mergeCell ref="D90:E90"/>
    <mergeCell ref="D91:E9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7.25390625" style="0" customWidth="1"/>
    <col min="3" max="3" width="10.375" style="0" customWidth="1"/>
    <col min="4" max="4" width="13.00390625" style="0" customWidth="1"/>
    <col min="5" max="5" width="12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0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385</v>
      </c>
      <c r="C7" s="26"/>
      <c r="D7" s="24"/>
    </row>
    <row r="8" spans="1:4" ht="15">
      <c r="A8" s="26"/>
      <c r="B8" s="27" t="s">
        <v>115</v>
      </c>
      <c r="C8" s="38">
        <v>2611.2</v>
      </c>
      <c r="D8" s="92" t="s">
        <v>116</v>
      </c>
    </row>
    <row r="9" spans="1:4" ht="15">
      <c r="A9" s="26"/>
      <c r="B9" s="27"/>
      <c r="C9" s="38"/>
      <c r="D9" s="92"/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300929.34</v>
      </c>
      <c r="D12" s="218">
        <v>316895</v>
      </c>
      <c r="E12" s="242">
        <f aca="true" t="shared" si="0" ref="E12:E18">D12-C12</f>
        <v>15965.659999999974</v>
      </c>
    </row>
    <row r="13" spans="1:5" ht="12.75">
      <c r="A13" s="84">
        <v>2</v>
      </c>
      <c r="B13" s="5" t="s">
        <v>637</v>
      </c>
      <c r="C13" s="10">
        <v>151946.5</v>
      </c>
      <c r="D13" s="98">
        <v>158710.02</v>
      </c>
      <c r="E13" s="57">
        <f t="shared" si="0"/>
        <v>6763.5199999999895</v>
      </c>
    </row>
    <row r="14" spans="1:5" ht="12.75">
      <c r="A14" s="84">
        <v>3</v>
      </c>
      <c r="B14" s="5" t="s">
        <v>364</v>
      </c>
      <c r="C14" s="10">
        <v>50415.97</v>
      </c>
      <c r="D14" s="98">
        <v>39754.74</v>
      </c>
      <c r="E14" s="57">
        <f t="shared" si="0"/>
        <v>-10661.230000000003</v>
      </c>
    </row>
    <row r="15" spans="1:5" ht="12.75">
      <c r="A15" s="84">
        <v>4</v>
      </c>
      <c r="B15" s="5" t="s">
        <v>633</v>
      </c>
      <c r="C15" s="10">
        <v>18160.4</v>
      </c>
      <c r="D15" s="98">
        <v>19694.88</v>
      </c>
      <c r="E15" s="57">
        <f t="shared" si="0"/>
        <v>1534.4799999999996</v>
      </c>
    </row>
    <row r="16" spans="1:5" ht="12.75">
      <c r="A16" s="84">
        <v>5</v>
      </c>
      <c r="B16" s="5" t="s">
        <v>556</v>
      </c>
      <c r="C16" s="10">
        <v>19575.39</v>
      </c>
      <c r="D16" s="98">
        <v>20826.24</v>
      </c>
      <c r="E16" s="57">
        <f t="shared" si="0"/>
        <v>1250.8500000000022</v>
      </c>
    </row>
    <row r="17" spans="1:5" ht="12.75">
      <c r="A17" s="84">
        <v>6</v>
      </c>
      <c r="B17" s="5" t="s">
        <v>1036</v>
      </c>
      <c r="C17" s="10">
        <v>14472.13</v>
      </c>
      <c r="D17" s="98">
        <v>14472.13</v>
      </c>
      <c r="E17" s="57">
        <f t="shared" si="0"/>
        <v>0</v>
      </c>
    </row>
    <row r="18" spans="1:5" ht="12.75">
      <c r="A18" s="84">
        <v>7</v>
      </c>
      <c r="B18" s="5" t="s">
        <v>29</v>
      </c>
      <c r="C18" s="10">
        <f>3500+2400+3600+3900</f>
        <v>13400</v>
      </c>
      <c r="D18" s="98">
        <f>4200+2400+3600+4200</f>
        <v>14400</v>
      </c>
      <c r="E18" s="57">
        <f t="shared" si="0"/>
        <v>1000</v>
      </c>
    </row>
    <row r="19" spans="1:5" ht="13.5" thickBot="1">
      <c r="A19" s="250"/>
      <c r="B19" s="251"/>
      <c r="C19" s="118">
        <f>SUM(C12:C18)</f>
        <v>568899.7300000001</v>
      </c>
      <c r="D19" s="118">
        <f>SUM(D12:D18)</f>
        <v>584753.01</v>
      </c>
      <c r="E19" s="137">
        <f>SUM(E12:E18)</f>
        <v>15853.279999999962</v>
      </c>
    </row>
    <row r="20" spans="1:5" ht="12.75">
      <c r="A20" s="385" t="s">
        <v>793</v>
      </c>
      <c r="B20" s="386"/>
      <c r="C20" s="386"/>
      <c r="D20" s="386"/>
      <c r="E20" s="108">
        <f>E115</f>
        <v>91742.53999999998</v>
      </c>
    </row>
    <row r="21" spans="1:5" ht="12.75">
      <c r="A21" s="387" t="s">
        <v>794</v>
      </c>
      <c r="B21" s="384"/>
      <c r="C21" s="384"/>
      <c r="D21" s="384"/>
      <c r="E21" s="22">
        <v>128466.27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789</v>
      </c>
      <c r="C24" s="80">
        <f>C62</f>
        <v>176819.48</v>
      </c>
      <c r="E24" s="29"/>
    </row>
    <row r="25" spans="1:5" ht="12.75">
      <c r="A25" s="91">
        <v>2</v>
      </c>
      <c r="B25" s="25" t="s">
        <v>344</v>
      </c>
      <c r="C25" s="102">
        <f>C66</f>
        <v>8979.56</v>
      </c>
      <c r="D25" s="388"/>
      <c r="E25" s="389"/>
    </row>
    <row r="26" spans="1:5" ht="12.75">
      <c r="A26" s="84">
        <v>3</v>
      </c>
      <c r="B26" s="9" t="s">
        <v>649</v>
      </c>
      <c r="C26" s="48">
        <v>6149.79</v>
      </c>
      <c r="E26" s="29"/>
    </row>
    <row r="27" spans="1:5" ht="12.75">
      <c r="A27" s="84">
        <v>4</v>
      </c>
      <c r="B27" s="9" t="s">
        <v>122</v>
      </c>
      <c r="C27" s="48">
        <f>(C8*0.55*12)</f>
        <v>17233.920000000002</v>
      </c>
      <c r="E27" s="29"/>
    </row>
    <row r="28" spans="1:5" ht="12.75">
      <c r="A28" s="84">
        <v>5</v>
      </c>
      <c r="B28" s="9" t="s">
        <v>658</v>
      </c>
      <c r="C28" s="79">
        <v>41432.04</v>
      </c>
      <c r="E28" s="29"/>
    </row>
    <row r="29" spans="1:5" ht="12.75">
      <c r="A29" s="91">
        <v>6</v>
      </c>
      <c r="B29" s="25" t="s">
        <v>61</v>
      </c>
      <c r="C29" s="203">
        <v>2400</v>
      </c>
      <c r="E29" s="29"/>
    </row>
    <row r="30" spans="1:5" ht="12.75">
      <c r="A30" s="84">
        <v>7</v>
      </c>
      <c r="B30" s="25" t="s">
        <v>1006</v>
      </c>
      <c r="C30" s="203">
        <v>18923.01</v>
      </c>
      <c r="E30" s="29"/>
    </row>
    <row r="31" spans="1:5" ht="12.75">
      <c r="A31" s="91">
        <v>8</v>
      </c>
      <c r="B31" s="346" t="s">
        <v>603</v>
      </c>
      <c r="C31" s="96">
        <v>23271.5</v>
      </c>
      <c r="E31" s="29"/>
    </row>
    <row r="32" spans="1:5" ht="12.75">
      <c r="A32" s="84">
        <v>9</v>
      </c>
      <c r="B32" s="346" t="s">
        <v>26</v>
      </c>
      <c r="C32" s="96">
        <v>600</v>
      </c>
      <c r="E32" s="29"/>
    </row>
    <row r="33" spans="1:5" ht="25.5">
      <c r="A33" s="91">
        <v>10</v>
      </c>
      <c r="B33" s="25" t="s">
        <v>60</v>
      </c>
      <c r="C33" s="96">
        <v>-2300</v>
      </c>
      <c r="E33" s="29"/>
    </row>
    <row r="34" spans="1:3" ht="12.75">
      <c r="A34" s="50"/>
      <c r="B34" s="20" t="s">
        <v>629</v>
      </c>
      <c r="C34" s="51">
        <f>SUM(C24:C33)</f>
        <v>293509.30000000005</v>
      </c>
    </row>
    <row r="35" spans="1:3" ht="12.75">
      <c r="A35" s="49"/>
      <c r="B35" s="8" t="s">
        <v>965</v>
      </c>
      <c r="C35" s="45"/>
    </row>
    <row r="36" spans="1:3" ht="12.75">
      <c r="A36" s="84">
        <v>1</v>
      </c>
      <c r="B36" s="9" t="s">
        <v>228</v>
      </c>
      <c r="C36" s="48">
        <f>(C19)*15%</f>
        <v>85334.95950000001</v>
      </c>
    </row>
    <row r="37" spans="1:3" ht="12.75">
      <c r="A37" s="84">
        <v>2</v>
      </c>
      <c r="B37" s="9" t="s">
        <v>813</v>
      </c>
      <c r="C37" s="48">
        <f>C72</f>
        <v>5655.48267648266</v>
      </c>
    </row>
    <row r="38" spans="1:3" ht="12.75">
      <c r="A38" s="84">
        <v>3</v>
      </c>
      <c r="B38" s="9" t="s">
        <v>653</v>
      </c>
      <c r="C38" s="48">
        <f>C73</f>
        <v>6142.69218127135</v>
      </c>
    </row>
    <row r="39" spans="1:3" ht="12.75">
      <c r="A39" s="84">
        <v>4</v>
      </c>
      <c r="B39" s="9" t="s">
        <v>1114</v>
      </c>
      <c r="C39" s="52">
        <f>C74</f>
        <v>12469.910727363016</v>
      </c>
    </row>
    <row r="40" spans="1:3" ht="12.75">
      <c r="A40" s="84">
        <v>5</v>
      </c>
      <c r="B40" s="9" t="s">
        <v>162</v>
      </c>
      <c r="C40" s="52">
        <f>C75</f>
        <v>9111.598306376094</v>
      </c>
    </row>
    <row r="41" spans="1:3" ht="12.75">
      <c r="A41" s="84">
        <v>6</v>
      </c>
      <c r="B41" s="9" t="s">
        <v>1051</v>
      </c>
      <c r="C41" s="48">
        <f>C76+C78+C79+C80+C77</f>
        <v>15462.34380591102</v>
      </c>
    </row>
    <row r="42" spans="1:3" ht="12.75">
      <c r="A42" s="49"/>
      <c r="B42" s="74" t="s">
        <v>809</v>
      </c>
      <c r="C42" s="53"/>
    </row>
    <row r="43" spans="1:3" ht="12.75">
      <c r="A43" s="49"/>
      <c r="B43" s="5" t="s">
        <v>655</v>
      </c>
      <c r="C43" s="53"/>
    </row>
    <row r="44" spans="1:3" ht="12.75">
      <c r="A44" s="49"/>
      <c r="B44" s="74" t="s">
        <v>656</v>
      </c>
      <c r="C44" s="53"/>
    </row>
    <row r="45" spans="1:3" ht="12.75">
      <c r="A45" s="49"/>
      <c r="B45" s="74" t="s">
        <v>808</v>
      </c>
      <c r="C45" s="53"/>
    </row>
    <row r="46" spans="1:3" ht="12.75">
      <c r="A46" s="50"/>
      <c r="B46" s="20" t="s">
        <v>629</v>
      </c>
      <c r="C46" s="51">
        <f>C36+C37+C38+C39+C40+C41</f>
        <v>134176.98719740415</v>
      </c>
    </row>
    <row r="47" spans="1:3" ht="12.75">
      <c r="A47" s="49"/>
      <c r="B47" s="7" t="s">
        <v>966</v>
      </c>
      <c r="C47" s="45"/>
    </row>
    <row r="48" spans="1:3" ht="12.75">
      <c r="A48" s="84">
        <v>1</v>
      </c>
      <c r="B48" s="9" t="s">
        <v>631</v>
      </c>
      <c r="C48" s="48">
        <f>C19*2%</f>
        <v>11377.994600000002</v>
      </c>
    </row>
    <row r="49" spans="1:3" ht="12.75">
      <c r="A49" s="84">
        <v>2</v>
      </c>
      <c r="B49" s="9" t="s">
        <v>391</v>
      </c>
      <c r="C49" s="48">
        <f>C50</f>
        <v>33451.30412400001</v>
      </c>
    </row>
    <row r="50" spans="1:4" ht="12.75">
      <c r="A50" s="49"/>
      <c r="B50" s="5" t="s">
        <v>334</v>
      </c>
      <c r="C50" s="41">
        <f>(C19-C48)*6%</f>
        <v>33451.30412400001</v>
      </c>
      <c r="D50" s="19"/>
    </row>
    <row r="51" spans="1:3" ht="13.5" thickBot="1">
      <c r="A51" s="54"/>
      <c r="B51" s="55" t="s">
        <v>967</v>
      </c>
      <c r="C51" s="56">
        <f>C48+C49</f>
        <v>44829.29872400001</v>
      </c>
    </row>
    <row r="52" spans="1:3" ht="12.75">
      <c r="A52" s="23"/>
      <c r="B52" s="4" t="s">
        <v>288</v>
      </c>
      <c r="C52" s="11">
        <f>C34+C46+C51</f>
        <v>472515.5859214042</v>
      </c>
    </row>
    <row r="53" spans="1:3" ht="12.75">
      <c r="A53" s="23"/>
      <c r="B53" s="77"/>
      <c r="C53" s="1"/>
    </row>
    <row r="54" spans="1:3" ht="15">
      <c r="A54" s="23"/>
      <c r="B54" s="14" t="s">
        <v>812</v>
      </c>
      <c r="C54" s="11">
        <v>258131.28</v>
      </c>
    </row>
    <row r="55" spans="1:3" ht="15">
      <c r="A55" s="23"/>
      <c r="B55" s="14" t="s">
        <v>12</v>
      </c>
      <c r="C55" s="11">
        <v>63755.89</v>
      </c>
    </row>
    <row r="56" spans="1:3" ht="15">
      <c r="A56" s="23"/>
      <c r="B56" s="14" t="s">
        <v>180</v>
      </c>
      <c r="C56" s="11">
        <f>C52+C54-C19-C55</f>
        <v>97991.24592140412</v>
      </c>
    </row>
    <row r="57" ht="12.75">
      <c r="B57" s="1" t="s">
        <v>85</v>
      </c>
    </row>
    <row r="58" ht="12.75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427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2611.2</v>
      </c>
      <c r="E61" t="s">
        <v>116</v>
      </c>
    </row>
    <row r="62" spans="1:5" ht="12.75">
      <c r="A62" s="60" t="s">
        <v>218</v>
      </c>
      <c r="B62" s="39" t="s">
        <v>797</v>
      </c>
      <c r="C62" s="47">
        <v>176819.48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15623.61</v>
      </c>
      <c r="D64" s="15"/>
      <c r="E64" s="15"/>
    </row>
    <row r="65" spans="1:5" ht="13.5" thickBot="1">
      <c r="A65" s="63" t="s">
        <v>166</v>
      </c>
      <c r="B65" s="42" t="s">
        <v>818</v>
      </c>
      <c r="C65" s="43">
        <v>3866.86</v>
      </c>
      <c r="D65" s="15"/>
      <c r="E65" s="15"/>
    </row>
    <row r="66" spans="1:5" ht="12.75">
      <c r="A66" s="60" t="s">
        <v>328</v>
      </c>
      <c r="B66" s="39" t="s">
        <v>343</v>
      </c>
      <c r="C66" s="47">
        <v>8979.56</v>
      </c>
      <c r="D66" s="15"/>
      <c r="E66" s="12"/>
    </row>
    <row r="67" spans="1:5" ht="12.75">
      <c r="A67" s="61"/>
      <c r="B67" s="6" t="s">
        <v>118</v>
      </c>
      <c r="C67" s="41"/>
      <c r="D67" s="15"/>
      <c r="E67" s="12"/>
    </row>
    <row r="68" spans="1:5" ht="12.75">
      <c r="A68" s="62" t="s">
        <v>166</v>
      </c>
      <c r="B68" s="6" t="s">
        <v>380</v>
      </c>
      <c r="C68" s="41">
        <v>220</v>
      </c>
      <c r="D68" s="15"/>
      <c r="E68" s="12"/>
    </row>
    <row r="69" spans="1:5" ht="13.5" thickBot="1">
      <c r="A69" s="63" t="s">
        <v>166</v>
      </c>
      <c r="B69" s="42" t="s">
        <v>818</v>
      </c>
      <c r="C69" s="46">
        <v>149.31</v>
      </c>
      <c r="D69" s="15"/>
      <c r="E69" s="15"/>
    </row>
    <row r="70" spans="1:5" ht="12.75">
      <c r="A70" s="300" t="s">
        <v>787</v>
      </c>
      <c r="B70" s="97" t="s">
        <v>1050</v>
      </c>
      <c r="C70" s="82">
        <f>C71+C72+C74+C73+C75+C76+C78+C79+C80+C77</f>
        <v>134176.98719740417</v>
      </c>
      <c r="D70" s="15"/>
      <c r="E70" s="12"/>
    </row>
    <row r="71" spans="1:5" ht="13.5" thickBot="1">
      <c r="A71" s="40" t="s">
        <v>166</v>
      </c>
      <c r="B71" s="6" t="s">
        <v>227</v>
      </c>
      <c r="C71" s="41">
        <f>C36</f>
        <v>85334.95950000001</v>
      </c>
      <c r="D71" s="15"/>
      <c r="E71" s="12"/>
    </row>
    <row r="72" spans="1:5" ht="12.75">
      <c r="A72" s="40" t="s">
        <v>166</v>
      </c>
      <c r="B72" s="6" t="s">
        <v>370</v>
      </c>
      <c r="C72" s="317">
        <f>401410.25/185335.63*C8</f>
        <v>5655.48267648266</v>
      </c>
      <c r="D72" s="375" t="s">
        <v>594</v>
      </c>
      <c r="E72" s="376"/>
    </row>
    <row r="73" spans="1:5" ht="12.75">
      <c r="A73" s="73" t="s">
        <v>166</v>
      </c>
      <c r="B73" s="74" t="s">
        <v>397</v>
      </c>
      <c r="C73" s="317">
        <f>435991.01/185335.63*C8</f>
        <v>6142.69218127135</v>
      </c>
      <c r="D73" s="377" t="s">
        <v>595</v>
      </c>
      <c r="E73" s="378"/>
    </row>
    <row r="74" spans="1:5" ht="12.75">
      <c r="A74" s="71" t="s">
        <v>166</v>
      </c>
      <c r="B74" s="72" t="s">
        <v>416</v>
      </c>
      <c r="C74" s="317">
        <f>1082167/226605.83*C8</f>
        <v>12469.910727363016</v>
      </c>
      <c r="D74" s="379" t="s">
        <v>596</v>
      </c>
      <c r="E74" s="380"/>
    </row>
    <row r="75" spans="1:5" ht="25.5">
      <c r="A75" s="73" t="s">
        <v>166</v>
      </c>
      <c r="B75" s="72" t="s">
        <v>231</v>
      </c>
      <c r="C75" s="318">
        <f>845684.35/242356.05*D61</f>
        <v>9111.598306376094</v>
      </c>
      <c r="D75" s="381" t="s">
        <v>597</v>
      </c>
      <c r="E75" s="382"/>
    </row>
    <row r="76" spans="1:5" ht="12.75">
      <c r="A76" s="73" t="s">
        <v>166</v>
      </c>
      <c r="B76" s="74" t="s">
        <v>808</v>
      </c>
      <c r="C76" s="318">
        <f>642562.44/242356.05*D61</f>
        <v>6923.115982984537</v>
      </c>
      <c r="D76" s="371" t="s">
        <v>598</v>
      </c>
      <c r="E76" s="372"/>
    </row>
    <row r="77" spans="1:5" ht="12.75">
      <c r="A77" s="73" t="s">
        <v>166</v>
      </c>
      <c r="B77" s="74" t="s">
        <v>826</v>
      </c>
      <c r="C77" s="318">
        <f>51615/196822.43*D61</f>
        <v>684.7648817261326</v>
      </c>
      <c r="D77" s="371" t="s">
        <v>599</v>
      </c>
      <c r="E77" s="372"/>
    </row>
    <row r="78" spans="1:5" ht="12.75">
      <c r="A78" s="73" t="s">
        <v>166</v>
      </c>
      <c r="B78" s="74" t="s">
        <v>655</v>
      </c>
      <c r="C78" s="318">
        <f>129011.28/196822.43*D61</f>
        <v>1711.5643493274622</v>
      </c>
      <c r="D78" s="371" t="s">
        <v>600</v>
      </c>
      <c r="E78" s="372"/>
    </row>
    <row r="79" spans="1:5" ht="12.75">
      <c r="A79" s="73" t="s">
        <v>166</v>
      </c>
      <c r="B79" s="74" t="s">
        <v>656</v>
      </c>
      <c r="C79" s="318">
        <f>164128/196822.43*D61</f>
        <v>2177.4501696783236</v>
      </c>
      <c r="D79" s="373" t="s">
        <v>601</v>
      </c>
      <c r="E79" s="374"/>
    </row>
    <row r="80" spans="1:5" ht="13.5" thickBot="1">
      <c r="A80" s="75" t="s">
        <v>166</v>
      </c>
      <c r="B80" s="76" t="s">
        <v>809</v>
      </c>
      <c r="C80" s="319">
        <f>298900.58/196822.43*D61</f>
        <v>3965.4484221945636</v>
      </c>
      <c r="D80" s="369" t="s">
        <v>602</v>
      </c>
      <c r="E80" s="370"/>
    </row>
    <row r="81" ht="13.5" thickBot="1"/>
    <row r="82" spans="2:5" ht="24.75" thickBot="1">
      <c r="B82" s="143"/>
      <c r="C82" s="205" t="s">
        <v>104</v>
      </c>
      <c r="D82" s="236" t="s">
        <v>306</v>
      </c>
      <c r="E82" s="130" t="s">
        <v>305</v>
      </c>
    </row>
    <row r="83" spans="2:5" ht="13.5" thickBot="1">
      <c r="B83" s="363" t="s">
        <v>359</v>
      </c>
      <c r="C83" s="364"/>
      <c r="D83" s="364"/>
      <c r="E83" s="365"/>
    </row>
    <row r="84" spans="2:5" ht="12.75">
      <c r="B84" s="140" t="s">
        <v>285</v>
      </c>
      <c r="C84" s="234">
        <v>190746.66</v>
      </c>
      <c r="D84" s="155">
        <v>202593.91</v>
      </c>
      <c r="E84" s="44">
        <f>D84-C84</f>
        <v>11847.25</v>
      </c>
    </row>
    <row r="85" spans="2:5" ht="13.5" thickBot="1">
      <c r="B85" s="116" t="s">
        <v>637</v>
      </c>
      <c r="C85" s="67">
        <v>104702.75</v>
      </c>
      <c r="D85" s="70">
        <v>110998.67</v>
      </c>
      <c r="E85" s="131">
        <f>D85-C85</f>
        <v>6295.919999999998</v>
      </c>
    </row>
    <row r="86" spans="2:5" ht="13.5" thickBot="1">
      <c r="B86" s="120"/>
      <c r="C86" s="248">
        <f>SUM(C84:C85)</f>
        <v>295449.41000000003</v>
      </c>
      <c r="D86" s="249">
        <f>SUM(D84:D85)</f>
        <v>313592.58</v>
      </c>
      <c r="E86" s="207">
        <f>D86-C86</f>
        <v>18143.169999999984</v>
      </c>
    </row>
    <row r="87" spans="2:5" ht="13.5" thickBot="1">
      <c r="B87" s="363" t="s">
        <v>360</v>
      </c>
      <c r="C87" s="364"/>
      <c r="D87" s="364"/>
      <c r="E87" s="365"/>
    </row>
    <row r="88" spans="2:5" ht="12.75">
      <c r="B88" s="140" t="s">
        <v>285</v>
      </c>
      <c r="C88" s="234">
        <v>261329.6</v>
      </c>
      <c r="D88" s="155">
        <v>267457.08</v>
      </c>
      <c r="E88" s="44">
        <f>D88-C88</f>
        <v>6127.4800000000105</v>
      </c>
    </row>
    <row r="89" spans="2:5" ht="12.75">
      <c r="B89" s="115" t="s">
        <v>637</v>
      </c>
      <c r="C89" s="10">
        <v>123971.01</v>
      </c>
      <c r="D89" s="33">
        <v>130753.58</v>
      </c>
      <c r="E89" s="45">
        <f>D89-C89</f>
        <v>6782.570000000007</v>
      </c>
    </row>
    <row r="90" spans="2:5" ht="26.25" thickBot="1">
      <c r="B90" s="156" t="s">
        <v>119</v>
      </c>
      <c r="C90" s="229">
        <v>2500</v>
      </c>
      <c r="D90" s="229">
        <v>2500</v>
      </c>
      <c r="E90" s="46">
        <f>D90-C90</f>
        <v>0</v>
      </c>
    </row>
    <row r="91" spans="2:5" ht="13.5" thickBot="1">
      <c r="B91" s="153"/>
      <c r="C91" s="152">
        <f>SUM(C88:C90)</f>
        <v>387800.61</v>
      </c>
      <c r="D91" s="138">
        <f>SUM(D88:D90)</f>
        <v>400710.66000000003</v>
      </c>
      <c r="E91" s="206">
        <f>SUM(E88:E90)</f>
        <v>12910.050000000017</v>
      </c>
    </row>
    <row r="92" spans="2:5" ht="13.5" thickBot="1">
      <c r="B92" s="363" t="s">
        <v>297</v>
      </c>
      <c r="C92" s="364"/>
      <c r="D92" s="364"/>
      <c r="E92" s="365"/>
    </row>
    <row r="93" spans="2:5" ht="12.75">
      <c r="B93" s="140" t="s">
        <v>285</v>
      </c>
      <c r="C93" s="234">
        <v>265400.63</v>
      </c>
      <c r="D93" s="155">
        <v>272598.84</v>
      </c>
      <c r="E93" s="44">
        <f>D93-C93</f>
        <v>7198.210000000021</v>
      </c>
    </row>
    <row r="94" spans="2:5" ht="12.75">
      <c r="B94" s="115" t="s">
        <v>637</v>
      </c>
      <c r="C94" s="10">
        <v>133700.96</v>
      </c>
      <c r="D94" s="33">
        <v>132539.8</v>
      </c>
      <c r="E94" s="45">
        <f>D94-C94</f>
        <v>-1161.1600000000035</v>
      </c>
    </row>
    <row r="95" spans="2:5" ht="26.25" thickBot="1">
      <c r="B95" s="156" t="s">
        <v>119</v>
      </c>
      <c r="C95" s="229">
        <v>700</v>
      </c>
      <c r="D95" s="229">
        <v>700</v>
      </c>
      <c r="E95" s="320">
        <f>D95-C95</f>
        <v>0</v>
      </c>
    </row>
    <row r="96" spans="2:5" ht="13.5" thickBot="1">
      <c r="B96" s="153"/>
      <c r="C96" s="152">
        <f>SUM(C93:C95)</f>
        <v>399801.58999999997</v>
      </c>
      <c r="D96" s="152">
        <f>SUM(D93:D95)</f>
        <v>405838.64</v>
      </c>
      <c r="E96" s="299">
        <f>SUM(E93:E95)</f>
        <v>6037.0500000000175</v>
      </c>
    </row>
    <row r="97" spans="2:5" ht="13.5" thickBot="1">
      <c r="B97" s="363" t="s">
        <v>429</v>
      </c>
      <c r="C97" s="364"/>
      <c r="D97" s="364"/>
      <c r="E97" s="365"/>
    </row>
    <row r="98" spans="2:5" ht="12.75">
      <c r="B98" s="140" t="s">
        <v>285</v>
      </c>
      <c r="C98" s="141">
        <v>319393.1</v>
      </c>
      <c r="D98" s="155">
        <v>330701.79</v>
      </c>
      <c r="E98" s="242">
        <f aca="true" t="shared" si="1" ref="E98:E103">D98-C98</f>
        <v>11308.690000000002</v>
      </c>
    </row>
    <row r="99" spans="2:5" ht="12.75">
      <c r="B99" s="115" t="s">
        <v>637</v>
      </c>
      <c r="C99" s="5">
        <v>154651.97</v>
      </c>
      <c r="D99" s="33">
        <v>160824.13</v>
      </c>
      <c r="E99" s="57">
        <f t="shared" si="1"/>
        <v>6172.1600000000035</v>
      </c>
    </row>
    <row r="100" spans="2:5" ht="12.75">
      <c r="B100" s="115" t="s">
        <v>633</v>
      </c>
      <c r="C100" s="65">
        <v>13850.05</v>
      </c>
      <c r="D100" s="70">
        <v>17050.66</v>
      </c>
      <c r="E100" s="57">
        <f t="shared" si="1"/>
        <v>3200.6100000000006</v>
      </c>
    </row>
    <row r="101" spans="2:5" ht="12.75">
      <c r="B101" s="278" t="s">
        <v>792</v>
      </c>
      <c r="C101" s="122">
        <v>2100</v>
      </c>
      <c r="D101" s="122">
        <v>4300</v>
      </c>
      <c r="E101" s="128">
        <f t="shared" si="1"/>
        <v>2200</v>
      </c>
    </row>
    <row r="102" spans="2:5" ht="12.75">
      <c r="B102" s="278" t="s">
        <v>364</v>
      </c>
      <c r="C102" s="122">
        <v>69068.84</v>
      </c>
      <c r="D102" s="122">
        <v>84986.37</v>
      </c>
      <c r="E102" s="128">
        <f t="shared" si="1"/>
        <v>15917.529999999999</v>
      </c>
    </row>
    <row r="103" spans="2:5" ht="13.5" thickBot="1">
      <c r="B103" s="157" t="s">
        <v>1200</v>
      </c>
      <c r="C103" s="229">
        <v>23862.2</v>
      </c>
      <c r="D103" s="229">
        <v>23862.2</v>
      </c>
      <c r="E103" s="222">
        <f t="shared" si="1"/>
        <v>0</v>
      </c>
    </row>
    <row r="104" spans="2:5" ht="13.5" thickBot="1">
      <c r="B104" s="153"/>
      <c r="C104" s="152">
        <f>SUM(C98:C103)</f>
        <v>582926.1599999999</v>
      </c>
      <c r="D104" s="152">
        <f>SUM(D98:D103)</f>
        <v>621725.1499999999</v>
      </c>
      <c r="E104" s="158">
        <f>SUM(E98:E103)</f>
        <v>38798.990000000005</v>
      </c>
    </row>
    <row r="105" spans="2:5" ht="13.5" thickBot="1">
      <c r="B105" s="363" t="s">
        <v>87</v>
      </c>
      <c r="C105" s="364"/>
      <c r="D105" s="364"/>
      <c r="E105" s="365"/>
    </row>
    <row r="106" spans="2:5" ht="12.75">
      <c r="B106" s="140" t="s">
        <v>285</v>
      </c>
      <c r="C106" s="234">
        <v>300929.34</v>
      </c>
      <c r="D106" s="218">
        <v>316895</v>
      </c>
      <c r="E106" s="253">
        <f aca="true" t="shared" si="2" ref="E106:E112">D106-C106</f>
        <v>15965.659999999974</v>
      </c>
    </row>
    <row r="107" spans="2:5" ht="12.75">
      <c r="B107" s="115" t="s">
        <v>637</v>
      </c>
      <c r="C107" s="10">
        <v>151946.5</v>
      </c>
      <c r="D107" s="98">
        <v>158710.02</v>
      </c>
      <c r="E107" s="53">
        <f t="shared" si="2"/>
        <v>6763.5199999999895</v>
      </c>
    </row>
    <row r="108" spans="2:5" ht="12.75">
      <c r="B108" s="115" t="s">
        <v>364</v>
      </c>
      <c r="C108" s="10">
        <v>50415.97</v>
      </c>
      <c r="D108" s="98">
        <v>39754.74</v>
      </c>
      <c r="E108" s="53">
        <f t="shared" si="2"/>
        <v>-10661.230000000003</v>
      </c>
    </row>
    <row r="109" spans="2:5" ht="12.75">
      <c r="B109" s="115" t="s">
        <v>633</v>
      </c>
      <c r="C109" s="10">
        <v>18160.4</v>
      </c>
      <c r="D109" s="98">
        <v>19694.88</v>
      </c>
      <c r="E109" s="53">
        <f t="shared" si="2"/>
        <v>1534.4799999999996</v>
      </c>
    </row>
    <row r="110" spans="2:5" ht="12.75">
      <c r="B110" s="115" t="s">
        <v>556</v>
      </c>
      <c r="C110" s="10">
        <v>19575.39</v>
      </c>
      <c r="D110" s="98">
        <v>20826.24</v>
      </c>
      <c r="E110" s="53">
        <f t="shared" si="2"/>
        <v>1250.8500000000022</v>
      </c>
    </row>
    <row r="111" spans="2:5" ht="12.75">
      <c r="B111" s="115" t="s">
        <v>1036</v>
      </c>
      <c r="C111" s="10">
        <v>14472.13</v>
      </c>
      <c r="D111" s="98">
        <v>14472.13</v>
      </c>
      <c r="E111" s="204">
        <f t="shared" si="2"/>
        <v>0</v>
      </c>
    </row>
    <row r="112" spans="2:5" ht="13.5" thickBot="1">
      <c r="B112" s="157" t="s">
        <v>29</v>
      </c>
      <c r="C112" s="225">
        <f>3500+2400+3600+3900</f>
        <v>13400</v>
      </c>
      <c r="D112" s="227">
        <f>4200+2400+3600+4200</f>
        <v>14400</v>
      </c>
      <c r="E112" s="262">
        <f t="shared" si="2"/>
        <v>1000</v>
      </c>
    </row>
    <row r="113" spans="2:5" ht="13.5" thickBot="1">
      <c r="B113" s="153"/>
      <c r="C113" s="152">
        <f>SUM(C106:C112)</f>
        <v>568899.7300000001</v>
      </c>
      <c r="D113" s="138">
        <f>SUM(D106:D112)</f>
        <v>584753.01</v>
      </c>
      <c r="E113" s="206">
        <f>SUM(E106:E112)</f>
        <v>15853.279999999962</v>
      </c>
    </row>
    <row r="114" spans="2:5" ht="13.5" thickBot="1">
      <c r="B114" s="366" t="s">
        <v>379</v>
      </c>
      <c r="C114" s="367"/>
      <c r="D114" s="367"/>
      <c r="E114" s="368"/>
    </row>
    <row r="115" spans="2:5" ht="13.5" thickBot="1">
      <c r="B115" s="153"/>
      <c r="C115" s="117">
        <f>C86+C91+C96+C104+C113</f>
        <v>2234877.5</v>
      </c>
      <c r="D115" s="117">
        <f>D86+D91+D96+D104+D113</f>
        <v>2326620.04</v>
      </c>
      <c r="E115" s="117">
        <f>E86+E91+E96+E104+E113</f>
        <v>91742.53999999998</v>
      </c>
    </row>
  </sheetData>
  <sheetProtection/>
  <mergeCells count="23">
    <mergeCell ref="B92:E92"/>
    <mergeCell ref="D76:E76"/>
    <mergeCell ref="D77:E77"/>
    <mergeCell ref="D78:E78"/>
    <mergeCell ref="D79:E79"/>
    <mergeCell ref="B97:E97"/>
    <mergeCell ref="B114:E114"/>
    <mergeCell ref="B105:E105"/>
    <mergeCell ref="D80:E80"/>
    <mergeCell ref="B83:E83"/>
    <mergeCell ref="B87:E87"/>
    <mergeCell ref="A21:D21"/>
    <mergeCell ref="D25:E25"/>
    <mergeCell ref="D72:E72"/>
    <mergeCell ref="D73:E73"/>
    <mergeCell ref="D74:E74"/>
    <mergeCell ref="D75:E75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7.125" style="0" customWidth="1"/>
    <col min="3" max="3" width="10.25390625" style="0" customWidth="1"/>
    <col min="4" max="4" width="12.1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307</v>
      </c>
      <c r="C7" s="26"/>
      <c r="D7" s="24"/>
    </row>
    <row r="8" spans="1:4" ht="15">
      <c r="A8" s="26"/>
      <c r="B8" s="27" t="s">
        <v>115</v>
      </c>
      <c r="C8" s="38">
        <v>1009.1</v>
      </c>
      <c r="D8" s="92" t="s">
        <v>116</v>
      </c>
    </row>
    <row r="9" spans="1:4" ht="15">
      <c r="A9" s="26"/>
      <c r="B9" s="27"/>
      <c r="C9" s="38"/>
      <c r="D9" s="92"/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124998.72</v>
      </c>
      <c r="D12" s="218">
        <v>123306.9</v>
      </c>
      <c r="E12" s="242">
        <f aca="true" t="shared" si="0" ref="E12:E18">D12-C12</f>
        <v>-1691.820000000007</v>
      </c>
    </row>
    <row r="13" spans="1:5" ht="12.75">
      <c r="A13" s="84">
        <v>2</v>
      </c>
      <c r="B13" s="5" t="s">
        <v>637</v>
      </c>
      <c r="C13" s="10">
        <v>61967.85</v>
      </c>
      <c r="D13" s="98">
        <v>61333.26</v>
      </c>
      <c r="E13" s="57">
        <f t="shared" si="0"/>
        <v>-634.5899999999965</v>
      </c>
    </row>
    <row r="14" spans="1:5" ht="12.75">
      <c r="A14" s="84">
        <v>3</v>
      </c>
      <c r="B14" s="5" t="s">
        <v>364</v>
      </c>
      <c r="C14" s="10">
        <v>25799.9</v>
      </c>
      <c r="D14" s="98">
        <v>13729.84</v>
      </c>
      <c r="E14" s="57">
        <f t="shared" si="0"/>
        <v>-12070.060000000001</v>
      </c>
    </row>
    <row r="15" spans="1:5" ht="12.75">
      <c r="A15" s="84">
        <v>4</v>
      </c>
      <c r="B15" s="5" t="s">
        <v>633</v>
      </c>
      <c r="C15" s="10">
        <v>21735.87</v>
      </c>
      <c r="D15" s="98">
        <v>21796.56</v>
      </c>
      <c r="E15" s="57">
        <f t="shared" si="0"/>
        <v>60.69000000000233</v>
      </c>
    </row>
    <row r="16" spans="1:5" ht="12.75">
      <c r="A16" s="84">
        <v>5</v>
      </c>
      <c r="B16" s="5" t="s">
        <v>556</v>
      </c>
      <c r="C16" s="10">
        <v>16221.28</v>
      </c>
      <c r="D16" s="98">
        <v>16403.44</v>
      </c>
      <c r="E16" s="57">
        <f t="shared" si="0"/>
        <v>182.15999999999804</v>
      </c>
    </row>
    <row r="17" spans="1:5" ht="12.75">
      <c r="A17" s="84">
        <v>6</v>
      </c>
      <c r="B17" s="5" t="s">
        <v>1036</v>
      </c>
      <c r="C17" s="10">
        <v>8612.34</v>
      </c>
      <c r="D17" s="98">
        <v>8612.34</v>
      </c>
      <c r="E17" s="57">
        <f t="shared" si="0"/>
        <v>0</v>
      </c>
    </row>
    <row r="18" spans="1:5" ht="13.5" thickBot="1">
      <c r="A18" s="261">
        <v>7</v>
      </c>
      <c r="B18" s="95" t="s">
        <v>29</v>
      </c>
      <c r="C18" s="225">
        <v>2400</v>
      </c>
      <c r="D18" s="227">
        <v>2400</v>
      </c>
      <c r="E18" s="222">
        <f t="shared" si="0"/>
        <v>0</v>
      </c>
    </row>
    <row r="19" spans="1:5" ht="13.5" thickBot="1">
      <c r="A19" s="250"/>
      <c r="B19" s="251"/>
      <c r="C19" s="118">
        <f>SUM(C12:C18)</f>
        <v>261735.96</v>
      </c>
      <c r="D19" s="118">
        <f>SUM(D12:D18)</f>
        <v>247582.34</v>
      </c>
      <c r="E19" s="137">
        <f>SUM(E12:E18)</f>
        <v>-14153.620000000004</v>
      </c>
    </row>
    <row r="20" spans="1:5" ht="12.75">
      <c r="A20" s="385" t="s">
        <v>793</v>
      </c>
      <c r="B20" s="386"/>
      <c r="C20" s="386"/>
      <c r="D20" s="386"/>
      <c r="E20" s="108">
        <f>E118</f>
        <v>24297.95999999997</v>
      </c>
    </row>
    <row r="21" spans="1:5" ht="12.75">
      <c r="A21" s="387" t="s">
        <v>794</v>
      </c>
      <c r="B21" s="384"/>
      <c r="C21" s="384"/>
      <c r="D21" s="384"/>
      <c r="E21" s="259">
        <v>40836.77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789</v>
      </c>
      <c r="C24" s="80">
        <f>C62</f>
        <v>70681.51</v>
      </c>
      <c r="E24" s="29"/>
    </row>
    <row r="25" spans="1:5" ht="12.75">
      <c r="A25" s="91">
        <v>2</v>
      </c>
      <c r="B25" s="25" t="s">
        <v>344</v>
      </c>
      <c r="C25" s="102">
        <f>C66</f>
        <v>5229</v>
      </c>
      <c r="D25" s="388"/>
      <c r="E25" s="389"/>
    </row>
    <row r="26" spans="1:5" ht="12.75">
      <c r="A26" s="84">
        <v>3</v>
      </c>
      <c r="B26" s="9" t="s">
        <v>649</v>
      </c>
      <c r="C26" s="48">
        <v>2150.72</v>
      </c>
      <c r="E26" s="29"/>
    </row>
    <row r="27" spans="1:5" ht="12.75">
      <c r="A27" s="84">
        <v>4</v>
      </c>
      <c r="B27" s="9" t="s">
        <v>122</v>
      </c>
      <c r="C27" s="48">
        <f>(C8*0.55*12)</f>
        <v>6660.060000000001</v>
      </c>
      <c r="E27" s="29"/>
    </row>
    <row r="28" spans="1:5" ht="12.75">
      <c r="A28" s="84">
        <v>5</v>
      </c>
      <c r="B28" s="9" t="s">
        <v>658</v>
      </c>
      <c r="C28" s="79">
        <v>14873.04</v>
      </c>
      <c r="E28" s="29"/>
    </row>
    <row r="29" spans="1:5" ht="12.75">
      <c r="A29" s="91">
        <v>6</v>
      </c>
      <c r="B29" s="25" t="s">
        <v>61</v>
      </c>
      <c r="C29" s="203">
        <v>2400</v>
      </c>
      <c r="E29" s="29"/>
    </row>
    <row r="30" spans="1:5" ht="12.75">
      <c r="A30" s="84">
        <v>7</v>
      </c>
      <c r="B30" s="25" t="s">
        <v>1006</v>
      </c>
      <c r="C30" s="203">
        <v>16878.42</v>
      </c>
      <c r="E30" s="29"/>
    </row>
    <row r="31" spans="1:5" ht="12.75">
      <c r="A31" s="91">
        <v>8</v>
      </c>
      <c r="B31" s="25" t="s">
        <v>10</v>
      </c>
      <c r="C31" s="349">
        <v>80346.08</v>
      </c>
      <c r="E31" s="29"/>
    </row>
    <row r="32" spans="1:5" ht="12.75">
      <c r="A32" s="84">
        <v>9</v>
      </c>
      <c r="B32" s="346" t="s">
        <v>26</v>
      </c>
      <c r="C32" s="96">
        <v>600</v>
      </c>
      <c r="E32" s="29"/>
    </row>
    <row r="33" spans="1:5" ht="12.75">
      <c r="A33" s="84">
        <v>10</v>
      </c>
      <c r="B33" s="346" t="s">
        <v>941</v>
      </c>
      <c r="C33" s="96">
        <v>1185.03</v>
      </c>
      <c r="E33" s="29"/>
    </row>
    <row r="34" spans="1:5" ht="25.5">
      <c r="A34" s="91">
        <v>11</v>
      </c>
      <c r="B34" s="25" t="s">
        <v>60</v>
      </c>
      <c r="C34" s="96">
        <v>-2650</v>
      </c>
      <c r="E34" s="29"/>
    </row>
    <row r="35" spans="1:3" ht="12.75">
      <c r="A35" s="50"/>
      <c r="B35" s="20" t="s">
        <v>629</v>
      </c>
      <c r="C35" s="51">
        <f>SUM(C24:C34)</f>
        <v>198353.86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(C19)*15%</f>
        <v>39260.394</v>
      </c>
    </row>
    <row r="38" spans="1:3" ht="12.75">
      <c r="A38" s="84">
        <v>2</v>
      </c>
      <c r="B38" s="9" t="s">
        <v>813</v>
      </c>
      <c r="C38" s="48">
        <f>C72</f>
        <v>2185.56509223294</v>
      </c>
    </row>
    <row r="39" spans="1:3" ht="12.75">
      <c r="A39" s="84">
        <v>3</v>
      </c>
      <c r="B39" s="9" t="s">
        <v>653</v>
      </c>
      <c r="C39" s="48">
        <f>C73</f>
        <v>2373.8475337472883</v>
      </c>
    </row>
    <row r="40" spans="1:3" ht="12.75">
      <c r="A40" s="84">
        <v>4</v>
      </c>
      <c r="B40" s="9" t="s">
        <v>1114</v>
      </c>
      <c r="C40" s="52">
        <f>C74</f>
        <v>4819.005405553776</v>
      </c>
    </row>
    <row r="41" spans="1:3" ht="12.75">
      <c r="A41" s="84">
        <v>5</v>
      </c>
      <c r="B41" s="9" t="s">
        <v>162</v>
      </c>
      <c r="C41" s="52">
        <f>C75</f>
        <v>3521.183306894959</v>
      </c>
    </row>
    <row r="42" spans="1:3" ht="12.75">
      <c r="A42" s="84">
        <v>6</v>
      </c>
      <c r="B42" s="9" t="s">
        <v>1051</v>
      </c>
      <c r="C42" s="48">
        <f>C76+C78+C79+C80+C77</f>
        <v>5975.433185717223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58135.428524146184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C19*2%</f>
        <v>5234.7192</v>
      </c>
    </row>
    <row r="50" spans="1:3" ht="12.75">
      <c r="A50" s="84">
        <v>2</v>
      </c>
      <c r="B50" s="9" t="s">
        <v>391</v>
      </c>
      <c r="C50" s="48">
        <f>C51</f>
        <v>15390.074448</v>
      </c>
    </row>
    <row r="51" spans="1:4" ht="12.75">
      <c r="A51" s="49"/>
      <c r="B51" s="5" t="s">
        <v>334</v>
      </c>
      <c r="C51" s="41">
        <f>(C19-C49)*6%</f>
        <v>15390.074448</v>
      </c>
      <c r="D51" s="19"/>
    </row>
    <row r="52" spans="1:3" ht="13.5" thickBot="1">
      <c r="A52" s="54"/>
      <c r="B52" s="55" t="s">
        <v>967</v>
      </c>
      <c r="C52" s="56">
        <f>C49+C50</f>
        <v>20624.793648</v>
      </c>
    </row>
    <row r="53" spans="1:3" ht="12.75">
      <c r="A53" s="23"/>
      <c r="B53" s="4" t="s">
        <v>288</v>
      </c>
      <c r="C53" s="11">
        <f>C35+C47+C52</f>
        <v>277114.0821721462</v>
      </c>
    </row>
    <row r="54" spans="1:3" ht="12.75">
      <c r="A54" s="23"/>
      <c r="B54" s="77"/>
      <c r="C54" s="1"/>
    </row>
    <row r="55" spans="1:3" ht="15">
      <c r="A55" s="23"/>
      <c r="B55" s="14" t="s">
        <v>812</v>
      </c>
      <c r="C55" s="11">
        <v>17595.35</v>
      </c>
    </row>
    <row r="56" spans="1:3" ht="15">
      <c r="A56" s="23"/>
      <c r="B56" s="14" t="s">
        <v>180</v>
      </c>
      <c r="C56" s="11">
        <f>C53+C55-C19</f>
        <v>32973.47217214617</v>
      </c>
    </row>
    <row r="57" ht="12.75">
      <c r="B57" s="1" t="s">
        <v>85</v>
      </c>
    </row>
    <row r="58" ht="12.75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619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1009.1</v>
      </c>
      <c r="E61" t="s">
        <v>116</v>
      </c>
    </row>
    <row r="62" spans="1:5" ht="12.75">
      <c r="A62" s="60" t="s">
        <v>218</v>
      </c>
      <c r="B62" s="39" t="s">
        <v>797</v>
      </c>
      <c r="C62" s="47">
        <v>70681.51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2172.25</v>
      </c>
      <c r="D64" s="15"/>
      <c r="E64" s="15"/>
    </row>
    <row r="65" spans="1:5" ht="13.5" thickBot="1">
      <c r="A65" s="63" t="s">
        <v>166</v>
      </c>
      <c r="B65" s="42" t="s">
        <v>818</v>
      </c>
      <c r="C65" s="43">
        <v>1494.35</v>
      </c>
      <c r="D65" s="15"/>
      <c r="E65" s="15"/>
    </row>
    <row r="66" spans="1:5" ht="12.75">
      <c r="A66" s="60" t="s">
        <v>328</v>
      </c>
      <c r="B66" s="39" t="s">
        <v>343</v>
      </c>
      <c r="C66" s="47">
        <v>5229</v>
      </c>
      <c r="D66" s="15"/>
      <c r="E66" s="12"/>
    </row>
    <row r="67" spans="1:5" ht="12.75">
      <c r="A67" s="61"/>
      <c r="B67" s="6" t="s">
        <v>118</v>
      </c>
      <c r="C67" s="41"/>
      <c r="D67" s="15"/>
      <c r="E67" s="12"/>
    </row>
    <row r="68" spans="1:5" ht="12.75">
      <c r="A68" s="62" t="s">
        <v>166</v>
      </c>
      <c r="B68" s="6" t="s">
        <v>380</v>
      </c>
      <c r="C68" s="41">
        <v>11</v>
      </c>
      <c r="D68" s="15"/>
      <c r="E68" s="12"/>
    </row>
    <row r="69" spans="1:5" ht="13.5" thickBot="1">
      <c r="A69" s="63" t="s">
        <v>166</v>
      </c>
      <c r="B69" s="42" t="s">
        <v>818</v>
      </c>
      <c r="C69" s="43">
        <v>57.7</v>
      </c>
      <c r="D69" s="15"/>
      <c r="E69" s="15"/>
    </row>
    <row r="70" spans="1:5" ht="12.75">
      <c r="A70" s="300" t="s">
        <v>787</v>
      </c>
      <c r="B70" s="97" t="s">
        <v>1050</v>
      </c>
      <c r="C70" s="82">
        <f>C71+C72+C74+C73+C75+C76+C78+C79+C80+C77</f>
        <v>58135.428524146184</v>
      </c>
      <c r="D70" s="15"/>
      <c r="E70" s="12"/>
    </row>
    <row r="71" spans="1:5" ht="13.5" thickBot="1">
      <c r="A71" s="40" t="s">
        <v>166</v>
      </c>
      <c r="B71" s="6" t="s">
        <v>227</v>
      </c>
      <c r="C71" s="41">
        <f>C37</f>
        <v>39260.394</v>
      </c>
      <c r="D71" s="15"/>
      <c r="E71" s="12"/>
    </row>
    <row r="72" spans="1:5" ht="12.75">
      <c r="A72" s="40" t="s">
        <v>166</v>
      </c>
      <c r="B72" s="6" t="s">
        <v>370</v>
      </c>
      <c r="C72" s="317">
        <f>401410.25/185335.63*C8</f>
        <v>2185.56509223294</v>
      </c>
      <c r="D72" s="375" t="s">
        <v>620</v>
      </c>
      <c r="E72" s="376"/>
    </row>
    <row r="73" spans="1:5" ht="12.75">
      <c r="A73" s="73" t="s">
        <v>166</v>
      </c>
      <c r="B73" s="74" t="s">
        <v>397</v>
      </c>
      <c r="C73" s="317">
        <f>435991.01/185335.63*C8</f>
        <v>2373.8475337472883</v>
      </c>
      <c r="D73" s="377" t="s">
        <v>621</v>
      </c>
      <c r="E73" s="378"/>
    </row>
    <row r="74" spans="1:5" ht="12.75">
      <c r="A74" s="71" t="s">
        <v>166</v>
      </c>
      <c r="B74" s="72" t="s">
        <v>416</v>
      </c>
      <c r="C74" s="317">
        <f>1082167/226605.83*C8</f>
        <v>4819.005405553776</v>
      </c>
      <c r="D74" s="379" t="s">
        <v>622</v>
      </c>
      <c r="E74" s="380"/>
    </row>
    <row r="75" spans="1:5" ht="25.5">
      <c r="A75" s="73" t="s">
        <v>166</v>
      </c>
      <c r="B75" s="72" t="s">
        <v>231</v>
      </c>
      <c r="C75" s="318">
        <f>845684.35/242356.05*D61</f>
        <v>3521.183306894959</v>
      </c>
      <c r="D75" s="381" t="s">
        <v>623</v>
      </c>
      <c r="E75" s="382"/>
    </row>
    <row r="76" spans="1:5" ht="12.75">
      <c r="A76" s="73" t="s">
        <v>166</v>
      </c>
      <c r="B76" s="74" t="s">
        <v>808</v>
      </c>
      <c r="C76" s="318">
        <f>642562.44/242356.05*D61</f>
        <v>2675.442837940295</v>
      </c>
      <c r="D76" s="371" t="s">
        <v>624</v>
      </c>
      <c r="E76" s="372"/>
    </row>
    <row r="77" spans="1:5" ht="12.75">
      <c r="A77" s="73" t="s">
        <v>166</v>
      </c>
      <c r="B77" s="74" t="s">
        <v>826</v>
      </c>
      <c r="C77" s="318">
        <f>51615/196822.43*D61</f>
        <v>264.627850088021</v>
      </c>
      <c r="D77" s="371" t="s">
        <v>625</v>
      </c>
      <c r="E77" s="372"/>
    </row>
    <row r="78" spans="1:5" ht="12.75">
      <c r="A78" s="73" t="s">
        <v>166</v>
      </c>
      <c r="B78" s="74" t="s">
        <v>655</v>
      </c>
      <c r="C78" s="318">
        <f>129011.28/196822.43*D61</f>
        <v>661.4351964255294</v>
      </c>
      <c r="D78" s="371" t="s">
        <v>626</v>
      </c>
      <c r="E78" s="372"/>
    </row>
    <row r="79" spans="1:5" ht="12.75">
      <c r="A79" s="73" t="s">
        <v>166</v>
      </c>
      <c r="B79" s="74" t="s">
        <v>656</v>
      </c>
      <c r="C79" s="318">
        <f>164128/196822.43*D61</f>
        <v>841.4770857162977</v>
      </c>
      <c r="D79" s="373" t="s">
        <v>627</v>
      </c>
      <c r="E79" s="374"/>
    </row>
    <row r="80" spans="1:5" ht="13.5" thickBot="1">
      <c r="A80" s="75" t="s">
        <v>166</v>
      </c>
      <c r="B80" s="76" t="s">
        <v>809</v>
      </c>
      <c r="C80" s="319">
        <f>298900.58/196822.43*D61</f>
        <v>1532.4502155470798</v>
      </c>
      <c r="D80" s="369" t="s">
        <v>628</v>
      </c>
      <c r="E80" s="370"/>
    </row>
    <row r="81" ht="13.5" thickBot="1"/>
    <row r="82" spans="2:5" ht="26.25" thickBot="1">
      <c r="B82" s="143"/>
      <c r="C82" s="205" t="s">
        <v>104</v>
      </c>
      <c r="D82" s="236" t="s">
        <v>306</v>
      </c>
      <c r="E82" s="130" t="s">
        <v>305</v>
      </c>
    </row>
    <row r="83" spans="2:5" ht="13.5" thickBot="1">
      <c r="B83" s="363" t="s">
        <v>224</v>
      </c>
      <c r="C83" s="364"/>
      <c r="D83" s="364"/>
      <c r="E83" s="365"/>
    </row>
    <row r="84" spans="2:5" ht="12.75">
      <c r="B84" s="140" t="s">
        <v>285</v>
      </c>
      <c r="C84" s="234">
        <v>69477.12</v>
      </c>
      <c r="D84" s="218">
        <v>79932.24</v>
      </c>
      <c r="E84" s="44">
        <f>D84-C84</f>
        <v>10455.12000000001</v>
      </c>
    </row>
    <row r="85" spans="2:5" ht="12.75">
      <c r="B85" s="115" t="s">
        <v>637</v>
      </c>
      <c r="C85" s="10">
        <v>37733.75</v>
      </c>
      <c r="D85" s="99">
        <v>43357.38</v>
      </c>
      <c r="E85" s="45">
        <f>D85-C85</f>
        <v>5623.629999999997</v>
      </c>
    </row>
    <row r="86" spans="2:5" ht="13.5" thickBot="1">
      <c r="B86" s="157" t="s">
        <v>375</v>
      </c>
      <c r="C86" s="225">
        <v>10540.03</v>
      </c>
      <c r="D86" s="235">
        <v>12111.16</v>
      </c>
      <c r="E86" s="46">
        <f>D86-C86</f>
        <v>1571.1299999999992</v>
      </c>
    </row>
    <row r="87" spans="2:5" ht="13.5" thickBot="1">
      <c r="B87" s="124"/>
      <c r="C87" s="252">
        <f>SUM(C84:C86)</f>
        <v>117750.9</v>
      </c>
      <c r="D87" s="252">
        <f>SUM(D84:D86)</f>
        <v>135400.78</v>
      </c>
      <c r="E87" s="252">
        <f>SUM(E84:E86)</f>
        <v>17649.880000000005</v>
      </c>
    </row>
    <row r="88" spans="2:5" ht="13.5" thickBot="1">
      <c r="B88" s="363" t="s">
        <v>303</v>
      </c>
      <c r="C88" s="364"/>
      <c r="D88" s="364"/>
      <c r="E88" s="365"/>
    </row>
    <row r="89" spans="2:5" ht="12.75">
      <c r="B89" s="140" t="s">
        <v>285</v>
      </c>
      <c r="C89" s="234">
        <v>97863.97</v>
      </c>
      <c r="D89" s="218">
        <v>104986.76</v>
      </c>
      <c r="E89" s="253">
        <f>D89-C89</f>
        <v>7122.789999999994</v>
      </c>
    </row>
    <row r="90" spans="2:5" ht="12.75">
      <c r="B90" s="115" t="s">
        <v>637</v>
      </c>
      <c r="C90" s="10">
        <v>49283.67</v>
      </c>
      <c r="D90" s="99">
        <v>52311.74</v>
      </c>
      <c r="E90" s="53">
        <f>D90-C90</f>
        <v>3028.0699999999997</v>
      </c>
    </row>
    <row r="91" spans="2:5" ht="12.75">
      <c r="B91" s="115" t="s">
        <v>633</v>
      </c>
      <c r="C91" s="125">
        <v>16698.88</v>
      </c>
      <c r="D91" s="125">
        <v>18163.8</v>
      </c>
      <c r="E91" s="81">
        <f>D91-C91</f>
        <v>1464.9199999999983</v>
      </c>
    </row>
    <row r="92" spans="2:5" ht="26.25" thickBot="1">
      <c r="B92" s="156" t="s">
        <v>119</v>
      </c>
      <c r="C92" s="142">
        <v>2500</v>
      </c>
      <c r="D92" s="142">
        <v>2500</v>
      </c>
      <c r="E92" s="85">
        <f>D92-C92</f>
        <v>0</v>
      </c>
    </row>
    <row r="93" spans="2:5" ht="13.5" thickBot="1">
      <c r="B93" s="187"/>
      <c r="C93" s="254">
        <f>SUM(C89:C92)</f>
        <v>166346.52000000002</v>
      </c>
      <c r="D93" s="254">
        <f>SUM(D89:D92)</f>
        <v>177962.3</v>
      </c>
      <c r="E93" s="254">
        <f>SUM(E89:E92)</f>
        <v>11615.779999999992</v>
      </c>
    </row>
    <row r="94" spans="2:5" ht="13.5" thickBot="1">
      <c r="B94" s="363" t="s">
        <v>409</v>
      </c>
      <c r="C94" s="364"/>
      <c r="D94" s="364"/>
      <c r="E94" s="365"/>
    </row>
    <row r="95" spans="2:5" ht="12.75">
      <c r="B95" s="140" t="s">
        <v>285</v>
      </c>
      <c r="C95" s="234">
        <v>114907.57</v>
      </c>
      <c r="D95" s="218">
        <v>105350.04</v>
      </c>
      <c r="E95" s="253">
        <f>D95-C95</f>
        <v>-9557.530000000013</v>
      </c>
    </row>
    <row r="96" spans="2:5" ht="12.75">
      <c r="B96" s="115" t="s">
        <v>637</v>
      </c>
      <c r="C96" s="10">
        <v>55643.18</v>
      </c>
      <c r="D96" s="99">
        <v>51221.92</v>
      </c>
      <c r="E96" s="53">
        <f>D96-C96</f>
        <v>-4421.260000000002</v>
      </c>
    </row>
    <row r="97" spans="2:5" ht="12.75">
      <c r="B97" s="115" t="s">
        <v>633</v>
      </c>
      <c r="C97" s="125">
        <v>20172.88</v>
      </c>
      <c r="D97" s="125">
        <v>18163.8</v>
      </c>
      <c r="E97" s="81">
        <f>D97-C97</f>
        <v>-2009.0800000000017</v>
      </c>
    </row>
    <row r="98" spans="2:5" ht="13.5" thickBot="1">
      <c r="B98" s="157" t="s">
        <v>1200</v>
      </c>
      <c r="C98" s="142">
        <v>5693.89</v>
      </c>
      <c r="D98" s="142">
        <v>5693.89</v>
      </c>
      <c r="E98" s="85">
        <v>0</v>
      </c>
    </row>
    <row r="99" spans="2:5" ht="13.5" thickBot="1">
      <c r="B99" s="324"/>
      <c r="C99" s="119">
        <f>SUM(C95:C98)</f>
        <v>196417.52000000002</v>
      </c>
      <c r="D99" s="119">
        <f>SUM(D95:D98)</f>
        <v>180429.65</v>
      </c>
      <c r="E99" s="119">
        <f>SUM(E95:E98)</f>
        <v>-15987.870000000017</v>
      </c>
    </row>
    <row r="100" spans="2:5" ht="13.5" thickBot="1">
      <c r="B100" s="363" t="s">
        <v>976</v>
      </c>
      <c r="C100" s="364"/>
      <c r="D100" s="364"/>
      <c r="E100" s="365"/>
    </row>
    <row r="101" spans="2:5" ht="12.75">
      <c r="B101" s="140" t="s">
        <v>285</v>
      </c>
      <c r="C101" s="141">
        <v>111811.31</v>
      </c>
      <c r="D101" s="155">
        <v>119033.54</v>
      </c>
      <c r="E101" s="253">
        <f aca="true" t="shared" si="1" ref="E101:E106">D101-C101</f>
        <v>7222.229999999996</v>
      </c>
    </row>
    <row r="102" spans="2:5" ht="12.75">
      <c r="B102" s="115" t="s">
        <v>637</v>
      </c>
      <c r="C102" s="5">
        <v>54673.33</v>
      </c>
      <c r="D102" s="33">
        <v>57881.88</v>
      </c>
      <c r="E102" s="53">
        <f t="shared" si="1"/>
        <v>3208.5499999999956</v>
      </c>
    </row>
    <row r="103" spans="2:5" ht="12.75">
      <c r="B103" s="115" t="s">
        <v>633</v>
      </c>
      <c r="C103" s="65">
        <v>19249.94</v>
      </c>
      <c r="D103" s="70">
        <v>20585.64</v>
      </c>
      <c r="E103" s="81">
        <f t="shared" si="1"/>
        <v>1335.7000000000007</v>
      </c>
    </row>
    <row r="104" spans="2:5" ht="12.75">
      <c r="B104" s="278" t="s">
        <v>792</v>
      </c>
      <c r="C104" s="122">
        <v>600</v>
      </c>
      <c r="D104" s="122">
        <v>800</v>
      </c>
      <c r="E104" s="81">
        <f t="shared" si="1"/>
        <v>200</v>
      </c>
    </row>
    <row r="105" spans="2:5" ht="12.75">
      <c r="B105" s="278" t="s">
        <v>364</v>
      </c>
      <c r="C105" s="122">
        <v>56087.72</v>
      </c>
      <c r="D105" s="122">
        <v>69295.03</v>
      </c>
      <c r="E105" s="81">
        <f t="shared" si="1"/>
        <v>13207.309999999998</v>
      </c>
    </row>
    <row r="106" spans="2:5" ht="13.5" thickBot="1">
      <c r="B106" s="157" t="s">
        <v>1200</v>
      </c>
      <c r="C106" s="229">
        <v>1477.09</v>
      </c>
      <c r="D106" s="229">
        <v>1477.09</v>
      </c>
      <c r="E106" s="85">
        <f t="shared" si="1"/>
        <v>0</v>
      </c>
    </row>
    <row r="107" spans="2:5" ht="13.5" thickBot="1">
      <c r="B107" s="324"/>
      <c r="C107" s="119">
        <f>SUM(C101:C106)</f>
        <v>243899.39</v>
      </c>
      <c r="D107" s="119">
        <f>SUM(D101:D106)</f>
        <v>269073.18</v>
      </c>
      <c r="E107" s="119">
        <f>SUM(E101:E106)</f>
        <v>25173.78999999999</v>
      </c>
    </row>
    <row r="108" spans="2:5" ht="13.5" thickBot="1">
      <c r="B108" s="363" t="s">
        <v>87</v>
      </c>
      <c r="C108" s="364"/>
      <c r="D108" s="364"/>
      <c r="E108" s="365"/>
    </row>
    <row r="109" spans="2:5" ht="12.75">
      <c r="B109" s="140" t="s">
        <v>285</v>
      </c>
      <c r="C109" s="234">
        <v>124998.72</v>
      </c>
      <c r="D109" s="218">
        <v>123306.9</v>
      </c>
      <c r="E109" s="253">
        <f aca="true" t="shared" si="2" ref="E109:E115">D109-C109</f>
        <v>-1691.820000000007</v>
      </c>
    </row>
    <row r="110" spans="2:5" ht="12.75">
      <c r="B110" s="115" t="s">
        <v>637</v>
      </c>
      <c r="C110" s="10">
        <v>61967.85</v>
      </c>
      <c r="D110" s="98">
        <v>61333.26</v>
      </c>
      <c r="E110" s="53">
        <f t="shared" si="2"/>
        <v>-634.5899999999965</v>
      </c>
    </row>
    <row r="111" spans="2:5" ht="12.75">
      <c r="B111" s="115" t="s">
        <v>364</v>
      </c>
      <c r="C111" s="10">
        <v>25799.9</v>
      </c>
      <c r="D111" s="98">
        <v>13729.84</v>
      </c>
      <c r="E111" s="53">
        <f t="shared" si="2"/>
        <v>-12070.060000000001</v>
      </c>
    </row>
    <row r="112" spans="2:5" ht="12.75">
      <c r="B112" s="115" t="s">
        <v>633</v>
      </c>
      <c r="C112" s="10">
        <v>21735.87</v>
      </c>
      <c r="D112" s="98">
        <v>21796.56</v>
      </c>
      <c r="E112" s="53">
        <f t="shared" si="2"/>
        <v>60.69000000000233</v>
      </c>
    </row>
    <row r="113" spans="2:5" ht="12.75">
      <c r="B113" s="115" t="s">
        <v>556</v>
      </c>
      <c r="C113" s="10">
        <v>16221.28</v>
      </c>
      <c r="D113" s="98">
        <v>16403.44</v>
      </c>
      <c r="E113" s="53">
        <f t="shared" si="2"/>
        <v>182.15999999999804</v>
      </c>
    </row>
    <row r="114" spans="2:5" ht="12.75">
      <c r="B114" s="115" t="s">
        <v>1036</v>
      </c>
      <c r="C114" s="10">
        <v>8612.34</v>
      </c>
      <c r="D114" s="98">
        <v>8612.34</v>
      </c>
      <c r="E114" s="204">
        <f t="shared" si="2"/>
        <v>0</v>
      </c>
    </row>
    <row r="115" spans="2:5" ht="13.5" thickBot="1">
      <c r="B115" s="157" t="s">
        <v>29</v>
      </c>
      <c r="C115" s="225">
        <v>2400</v>
      </c>
      <c r="D115" s="227">
        <v>2400</v>
      </c>
      <c r="E115" s="262">
        <f t="shared" si="2"/>
        <v>0</v>
      </c>
    </row>
    <row r="116" spans="2:5" ht="13.5" thickBot="1">
      <c r="B116" s="153"/>
      <c r="C116" s="152">
        <f>SUM(C109:C115)</f>
        <v>261735.96</v>
      </c>
      <c r="D116" s="138">
        <f>SUM(D109:D115)</f>
        <v>247582.34</v>
      </c>
      <c r="E116" s="206">
        <f>SUM(E109:E115)</f>
        <v>-14153.620000000004</v>
      </c>
    </row>
    <row r="117" spans="2:5" ht="13.5" thickBot="1">
      <c r="B117" s="366" t="s">
        <v>379</v>
      </c>
      <c r="C117" s="367"/>
      <c r="D117" s="367"/>
      <c r="E117" s="368"/>
    </row>
    <row r="118" spans="2:5" ht="13.5" thickBot="1">
      <c r="B118" s="153"/>
      <c r="C118" s="117">
        <f>C87+C93+C99+C107+C116</f>
        <v>986150.29</v>
      </c>
      <c r="D118" s="117">
        <f>D87+D93+D99+D107+D116</f>
        <v>1010448.2499999999</v>
      </c>
      <c r="E118" s="117">
        <f>E87+E93+E99+E107+E116</f>
        <v>24297.95999999997</v>
      </c>
    </row>
  </sheetData>
  <sheetProtection/>
  <mergeCells count="23">
    <mergeCell ref="B94:E94"/>
    <mergeCell ref="D76:E76"/>
    <mergeCell ref="D77:E77"/>
    <mergeCell ref="D78:E78"/>
    <mergeCell ref="D79:E79"/>
    <mergeCell ref="B100:E100"/>
    <mergeCell ref="B117:E117"/>
    <mergeCell ref="B108:E108"/>
    <mergeCell ref="D80:E80"/>
    <mergeCell ref="B83:E83"/>
    <mergeCell ref="B88:E88"/>
    <mergeCell ref="A21:D21"/>
    <mergeCell ref="D25:E25"/>
    <mergeCell ref="D72:E72"/>
    <mergeCell ref="D73:E73"/>
    <mergeCell ref="D74:E74"/>
    <mergeCell ref="D75:E75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7.375" style="0" customWidth="1"/>
    <col min="3" max="3" width="10.375" style="0" customWidth="1"/>
    <col min="4" max="4" width="12.125" style="0" customWidth="1"/>
    <col min="5" max="5" width="13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1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1035</v>
      </c>
      <c r="C7" s="26"/>
      <c r="D7" s="24"/>
    </row>
    <row r="8" spans="1:4" ht="15">
      <c r="A8" s="26"/>
      <c r="B8" s="27" t="s">
        <v>115</v>
      </c>
      <c r="C8" s="38">
        <v>2332.2</v>
      </c>
      <c r="D8" s="92" t="s">
        <v>116</v>
      </c>
    </row>
    <row r="9" spans="1:4" ht="15">
      <c r="A9" s="26"/>
      <c r="B9" s="27" t="s">
        <v>654</v>
      </c>
      <c r="C9" s="93">
        <v>101.5</v>
      </c>
      <c r="D9" s="92" t="s">
        <v>116</v>
      </c>
    </row>
    <row r="10" spans="1:4" ht="15">
      <c r="A10" s="26"/>
      <c r="B10" s="27"/>
      <c r="C10" s="38"/>
      <c r="D10" s="92"/>
    </row>
    <row r="11" spans="1:5" ht="13.5" thickBot="1">
      <c r="A11" s="23" t="s">
        <v>635</v>
      </c>
      <c r="B11" s="3" t="s">
        <v>636</v>
      </c>
      <c r="C11" s="12"/>
      <c r="D11" s="21"/>
      <c r="E11" s="31"/>
    </row>
    <row r="12" spans="1:5" ht="39" thickBot="1">
      <c r="A12" s="237"/>
      <c r="B12" s="238" t="s">
        <v>103</v>
      </c>
      <c r="C12" s="239" t="s">
        <v>104</v>
      </c>
      <c r="D12" s="240" t="s">
        <v>306</v>
      </c>
      <c r="E12" s="241" t="s">
        <v>378</v>
      </c>
    </row>
    <row r="13" spans="1:5" ht="12.75">
      <c r="A13" s="113">
        <v>1</v>
      </c>
      <c r="B13" s="141" t="s">
        <v>285</v>
      </c>
      <c r="C13" s="234">
        <v>292954.29</v>
      </c>
      <c r="D13" s="218">
        <f>287511.98+1.01</f>
        <v>287512.99</v>
      </c>
      <c r="E13" s="242">
        <f aca="true" t="shared" si="0" ref="E13:E20">D13-C13</f>
        <v>-5441.299999999988</v>
      </c>
    </row>
    <row r="14" spans="1:5" ht="12.75">
      <c r="A14" s="84">
        <v>2</v>
      </c>
      <c r="B14" s="5" t="s">
        <v>637</v>
      </c>
      <c r="C14" s="10">
        <v>143338.01</v>
      </c>
      <c r="D14" s="98">
        <v>141752.1</v>
      </c>
      <c r="E14" s="57">
        <f t="shared" si="0"/>
        <v>-1585.9100000000035</v>
      </c>
    </row>
    <row r="15" spans="1:5" ht="12.75">
      <c r="A15" s="84">
        <v>3</v>
      </c>
      <c r="B15" s="5" t="s">
        <v>364</v>
      </c>
      <c r="C15" s="10">
        <v>40675.26</v>
      </c>
      <c r="D15" s="98">
        <v>31824.17</v>
      </c>
      <c r="E15" s="57">
        <f t="shared" si="0"/>
        <v>-8851.090000000004</v>
      </c>
    </row>
    <row r="16" spans="1:5" ht="12.75">
      <c r="A16" s="84">
        <v>4</v>
      </c>
      <c r="B16" s="5" t="s">
        <v>633</v>
      </c>
      <c r="C16" s="10">
        <v>43651.37</v>
      </c>
      <c r="D16" s="98">
        <v>43490.7</v>
      </c>
      <c r="E16" s="57">
        <f t="shared" si="0"/>
        <v>-160.67000000000553</v>
      </c>
    </row>
    <row r="17" spans="1:5" ht="12.75">
      <c r="A17" s="84">
        <v>5</v>
      </c>
      <c r="B17" s="5" t="s">
        <v>234</v>
      </c>
      <c r="C17" s="10">
        <v>21887.48</v>
      </c>
      <c r="D17" s="98">
        <v>22990.15</v>
      </c>
      <c r="E17" s="57">
        <f t="shared" si="0"/>
        <v>1102.670000000002</v>
      </c>
    </row>
    <row r="18" spans="1:5" ht="12.75">
      <c r="A18" s="84">
        <v>6</v>
      </c>
      <c r="B18" s="5" t="s">
        <v>1036</v>
      </c>
      <c r="C18" s="10">
        <v>2736.09</v>
      </c>
      <c r="D18" s="98">
        <v>2736.09</v>
      </c>
      <c r="E18" s="57">
        <f t="shared" si="0"/>
        <v>0</v>
      </c>
    </row>
    <row r="19" spans="1:5" ht="12.75">
      <c r="A19" s="87">
        <v>7</v>
      </c>
      <c r="B19" s="5" t="s">
        <v>232</v>
      </c>
      <c r="C19" s="125">
        <v>22541.15</v>
      </c>
      <c r="D19" s="125">
        <v>21112.81</v>
      </c>
      <c r="E19" s="128">
        <f t="shared" si="0"/>
        <v>-1428.3400000000001</v>
      </c>
    </row>
    <row r="20" spans="1:5" ht="12.75">
      <c r="A20" s="84">
        <v>8</v>
      </c>
      <c r="B20" s="5" t="s">
        <v>29</v>
      </c>
      <c r="C20" s="10">
        <f>3500+3600+5000</f>
        <v>12100</v>
      </c>
      <c r="D20" s="98">
        <f>4200+3300</f>
        <v>7500</v>
      </c>
      <c r="E20" s="57">
        <f t="shared" si="0"/>
        <v>-4600</v>
      </c>
    </row>
    <row r="21" spans="1:5" ht="13.5" thickBot="1">
      <c r="A21" s="250"/>
      <c r="B21" s="251"/>
      <c r="C21" s="118">
        <f>SUM(C13:C20)</f>
        <v>579883.65</v>
      </c>
      <c r="D21" s="118">
        <f>SUM(D13:D20)</f>
        <v>558919.01</v>
      </c>
      <c r="E21" s="137">
        <f>SUM(E13:E20)</f>
        <v>-20964.64</v>
      </c>
    </row>
    <row r="22" spans="1:5" ht="12.75">
      <c r="A22" s="385" t="s">
        <v>793</v>
      </c>
      <c r="B22" s="386"/>
      <c r="C22" s="386"/>
      <c r="D22" s="386"/>
      <c r="E22" s="108">
        <f>E129</f>
        <v>102295.73000000001</v>
      </c>
    </row>
    <row r="23" spans="1:5" ht="12.75">
      <c r="A23" s="387" t="s">
        <v>794</v>
      </c>
      <c r="B23" s="384"/>
      <c r="C23" s="384"/>
      <c r="D23" s="384"/>
      <c r="E23" s="22">
        <v>284387.23</v>
      </c>
    </row>
    <row r="24" spans="1:2" ht="12.75">
      <c r="A24" s="37"/>
      <c r="B24" s="3" t="s">
        <v>217</v>
      </c>
    </row>
    <row r="25" spans="1:2" ht="13.5" thickBot="1">
      <c r="A25" s="37"/>
      <c r="B25" s="30" t="s">
        <v>964</v>
      </c>
    </row>
    <row r="26" spans="1:5" ht="12.75">
      <c r="A26" s="86">
        <v>1</v>
      </c>
      <c r="B26" s="64" t="s">
        <v>1095</v>
      </c>
      <c r="C26" s="80">
        <f>C64</f>
        <v>202663.38</v>
      </c>
      <c r="E26" s="29"/>
    </row>
    <row r="27" spans="1:5" ht="12.75">
      <c r="A27" s="91">
        <v>2</v>
      </c>
      <c r="B27" s="25" t="s">
        <v>344</v>
      </c>
      <c r="C27" s="102">
        <f>C71</f>
        <v>15037.46</v>
      </c>
      <c r="D27" s="388"/>
      <c r="E27" s="389"/>
    </row>
    <row r="28" spans="1:5" ht="12.75">
      <c r="A28" s="84">
        <v>3</v>
      </c>
      <c r="B28" s="9" t="s">
        <v>649</v>
      </c>
      <c r="C28" s="48">
        <v>7809.72</v>
      </c>
      <c r="E28" s="29"/>
    </row>
    <row r="29" spans="1:5" ht="12.75">
      <c r="A29" s="84">
        <v>4</v>
      </c>
      <c r="B29" s="9" t="s">
        <v>122</v>
      </c>
      <c r="C29" s="48">
        <f>(C8*0.55*12)</f>
        <v>15392.52</v>
      </c>
      <c r="E29" s="29"/>
    </row>
    <row r="30" spans="1:5" ht="12.75">
      <c r="A30" s="84">
        <v>5</v>
      </c>
      <c r="B30" s="9" t="s">
        <v>658</v>
      </c>
      <c r="C30" s="79">
        <v>39307.32</v>
      </c>
      <c r="E30" s="29"/>
    </row>
    <row r="31" spans="1:5" ht="12.75">
      <c r="A31" s="91">
        <v>6</v>
      </c>
      <c r="B31" s="25" t="s">
        <v>61</v>
      </c>
      <c r="C31" s="203">
        <v>1200</v>
      </c>
      <c r="E31" s="29"/>
    </row>
    <row r="32" spans="1:5" ht="12.75">
      <c r="A32" s="91">
        <v>7</v>
      </c>
      <c r="B32" s="25" t="s">
        <v>1006</v>
      </c>
      <c r="C32" s="203">
        <v>22969.17</v>
      </c>
      <c r="E32" s="29"/>
    </row>
    <row r="33" spans="1:5" ht="12.75">
      <c r="A33" s="91">
        <v>8</v>
      </c>
      <c r="B33" s="346" t="s">
        <v>26</v>
      </c>
      <c r="C33" s="96">
        <v>600</v>
      </c>
      <c r="E33" s="29"/>
    </row>
    <row r="34" spans="1:5" ht="12.75">
      <c r="A34" s="91">
        <v>9</v>
      </c>
      <c r="B34" s="25" t="s">
        <v>235</v>
      </c>
      <c r="C34" s="96">
        <v>3461.04</v>
      </c>
      <c r="E34" s="29"/>
    </row>
    <row r="35" spans="1:5" ht="25.5">
      <c r="A35" s="91">
        <v>10</v>
      </c>
      <c r="B35" s="25" t="s">
        <v>60</v>
      </c>
      <c r="C35" s="96">
        <v>-4925</v>
      </c>
      <c r="E35" s="29"/>
    </row>
    <row r="36" spans="1:5" ht="38.25">
      <c r="A36" s="91">
        <v>11</v>
      </c>
      <c r="B36" s="25" t="s">
        <v>247</v>
      </c>
      <c r="C36" s="349">
        <v>4550.05</v>
      </c>
      <c r="E36" s="29"/>
    </row>
    <row r="37" spans="1:3" ht="12.75">
      <c r="A37" s="50"/>
      <c r="B37" s="20" t="s">
        <v>629</v>
      </c>
      <c r="C37" s="51">
        <f>SUM(C26:C36)</f>
        <v>308065.6599999999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(C21)*15%</f>
        <v>86982.5475</v>
      </c>
    </row>
    <row r="40" spans="1:3" ht="12.75">
      <c r="A40" s="84">
        <v>2</v>
      </c>
      <c r="B40" s="9" t="s">
        <v>813</v>
      </c>
      <c r="C40" s="48">
        <f>C78</f>
        <v>5051.208907051493</v>
      </c>
    </row>
    <row r="41" spans="1:3" ht="12.75">
      <c r="A41" s="84">
        <v>3</v>
      </c>
      <c r="B41" s="9" t="s">
        <v>653</v>
      </c>
      <c r="C41" s="48">
        <f>C79</f>
        <v>5486.361330101502</v>
      </c>
    </row>
    <row r="42" spans="1:3" ht="12.75">
      <c r="A42" s="84">
        <v>4</v>
      </c>
      <c r="B42" s="9" t="s">
        <v>1114</v>
      </c>
      <c r="C42" s="52">
        <f>C80</f>
        <v>11137.532857826296</v>
      </c>
    </row>
    <row r="43" spans="1:3" ht="12.75">
      <c r="A43" s="84">
        <v>5</v>
      </c>
      <c r="B43" s="9" t="s">
        <v>162</v>
      </c>
      <c r="C43" s="52">
        <f>C81</f>
        <v>8492.224570399625</v>
      </c>
    </row>
    <row r="44" spans="1:3" ht="12.75">
      <c r="A44" s="84">
        <v>6</v>
      </c>
      <c r="B44" s="9" t="s">
        <v>1051</v>
      </c>
      <c r="C44" s="48">
        <f>C82+C84+C85+C86+C83</f>
        <v>14411.269194410863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131561.1443597898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C21*2%</f>
        <v>11597.673</v>
      </c>
    </row>
    <row r="52" spans="1:3" ht="12.75">
      <c r="A52" s="84">
        <v>2</v>
      </c>
      <c r="B52" s="9" t="s">
        <v>391</v>
      </c>
      <c r="C52" s="48">
        <f>C53</f>
        <v>34097.15862</v>
      </c>
    </row>
    <row r="53" spans="1:4" ht="12.75">
      <c r="A53" s="49"/>
      <c r="B53" s="5" t="s">
        <v>334</v>
      </c>
      <c r="C53" s="41">
        <f>(C21-C51)*6%</f>
        <v>34097.15862</v>
      </c>
      <c r="D53" s="19"/>
    </row>
    <row r="54" spans="1:3" ht="13.5" thickBot="1">
      <c r="A54" s="54"/>
      <c r="B54" s="55" t="s">
        <v>967</v>
      </c>
      <c r="C54" s="56">
        <f>C51+C52</f>
        <v>45694.831620000004</v>
      </c>
    </row>
    <row r="55" spans="1:3" ht="12.75">
      <c r="A55" s="23"/>
      <c r="B55" s="4" t="s">
        <v>288</v>
      </c>
      <c r="C55" s="11">
        <f>C37+C49+C54</f>
        <v>485321.6359797897</v>
      </c>
    </row>
    <row r="56" spans="1:3" ht="12.75">
      <c r="A56" s="23"/>
      <c r="B56" s="77"/>
      <c r="C56" s="1"/>
    </row>
    <row r="57" spans="1:3" ht="15">
      <c r="A57" s="23"/>
      <c r="B57" s="14" t="s">
        <v>812</v>
      </c>
      <c r="C57" s="11">
        <v>451358.2</v>
      </c>
    </row>
    <row r="58" spans="1:3" ht="15">
      <c r="A58" s="23"/>
      <c r="B58" s="14" t="s">
        <v>180</v>
      </c>
      <c r="C58" s="11">
        <f>C55+C57-C21</f>
        <v>356796.1859797897</v>
      </c>
    </row>
    <row r="59" ht="12.75">
      <c r="B59" s="1" t="s">
        <v>85</v>
      </c>
    </row>
    <row r="60" ht="12.75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223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C8+C9</f>
        <v>2433.7</v>
      </c>
      <c r="E63" t="s">
        <v>116</v>
      </c>
    </row>
    <row r="64" spans="1:5" ht="12.75">
      <c r="A64" s="60" t="s">
        <v>218</v>
      </c>
      <c r="B64" s="39" t="s">
        <v>797</v>
      </c>
      <c r="C64" s="47">
        <v>202663.38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8071.6</v>
      </c>
      <c r="D66" s="15"/>
      <c r="E66" s="15"/>
    </row>
    <row r="67" spans="1:5" ht="12.75">
      <c r="A67" s="62" t="s">
        <v>166</v>
      </c>
      <c r="B67" s="6" t="s">
        <v>1076</v>
      </c>
      <c r="C67" s="41">
        <v>19004.71</v>
      </c>
      <c r="D67" s="15"/>
      <c r="E67" s="15"/>
    </row>
    <row r="68" spans="1:5" ht="12.75">
      <c r="A68" s="62" t="s">
        <v>166</v>
      </c>
      <c r="B68" s="6" t="s">
        <v>276</v>
      </c>
      <c r="C68" s="41">
        <v>3750</v>
      </c>
      <c r="D68" s="15"/>
      <c r="E68" s="15"/>
    </row>
    <row r="69" spans="1:5" ht="12.75">
      <c r="A69" s="62" t="s">
        <v>166</v>
      </c>
      <c r="B69" s="6" t="s">
        <v>236</v>
      </c>
      <c r="C69" s="41">
        <v>23428.75</v>
      </c>
      <c r="D69" s="15"/>
      <c r="E69" s="15"/>
    </row>
    <row r="70" spans="1:5" ht="13.5" thickBot="1">
      <c r="A70" s="63" t="s">
        <v>166</v>
      </c>
      <c r="B70" s="42" t="s">
        <v>818</v>
      </c>
      <c r="C70" s="46">
        <v>3453.69</v>
      </c>
      <c r="D70" s="15"/>
      <c r="E70" s="15"/>
    </row>
    <row r="71" spans="1:5" ht="12.75">
      <c r="A71" s="60" t="s">
        <v>328</v>
      </c>
      <c r="B71" s="39" t="s">
        <v>343</v>
      </c>
      <c r="C71" s="47">
        <v>15037.46</v>
      </c>
      <c r="D71" s="15"/>
      <c r="E71" s="12"/>
    </row>
    <row r="72" spans="1:5" ht="12.75">
      <c r="A72" s="61"/>
      <c r="B72" s="6" t="s">
        <v>118</v>
      </c>
      <c r="C72" s="41"/>
      <c r="D72" s="15"/>
      <c r="E72" s="12"/>
    </row>
    <row r="73" spans="1:5" ht="12.75">
      <c r="A73" s="62" t="s">
        <v>166</v>
      </c>
      <c r="B73" s="6" t="s">
        <v>380</v>
      </c>
      <c r="C73" s="41">
        <v>207</v>
      </c>
      <c r="D73" s="15"/>
      <c r="E73" s="12"/>
    </row>
    <row r="74" spans="1:5" ht="12.75">
      <c r="A74" s="62" t="s">
        <v>166</v>
      </c>
      <c r="B74" s="6" t="s">
        <v>222</v>
      </c>
      <c r="C74" s="41">
        <v>5072.65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133.36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131561.1443597898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C39</f>
        <v>86982.5475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5051.208907051493</v>
      </c>
      <c r="D78" s="375" t="s">
        <v>1037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5486.361330101502</v>
      </c>
      <c r="D79" s="377" t="s">
        <v>1038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11137.532857826296</v>
      </c>
      <c r="D80" s="379" t="s">
        <v>1039</v>
      </c>
      <c r="E80" s="380"/>
    </row>
    <row r="81" spans="1:5" ht="25.5">
      <c r="A81" s="73" t="s">
        <v>166</v>
      </c>
      <c r="B81" s="72" t="s">
        <v>231</v>
      </c>
      <c r="C81" s="318">
        <f>845684.35/242356.05*D63</f>
        <v>8492.224570399625</v>
      </c>
      <c r="D81" s="381" t="s">
        <v>1040</v>
      </c>
      <c r="E81" s="382"/>
    </row>
    <row r="82" spans="1:5" ht="12.75">
      <c r="A82" s="73" t="s">
        <v>166</v>
      </c>
      <c r="B82" s="74" t="s">
        <v>808</v>
      </c>
      <c r="C82" s="318">
        <f>642562.44/242356.05*D63</f>
        <v>6452.507417198785</v>
      </c>
      <c r="D82" s="371" t="s">
        <v>1041</v>
      </c>
      <c r="E82" s="372"/>
    </row>
    <row r="83" spans="1:5" ht="12.75">
      <c r="A83" s="73" t="s">
        <v>166</v>
      </c>
      <c r="B83" s="74" t="s">
        <v>826</v>
      </c>
      <c r="C83" s="318">
        <f>51615/196822.43*D63</f>
        <v>638.2170238422522</v>
      </c>
      <c r="D83" s="371" t="s">
        <v>1042</v>
      </c>
      <c r="E83" s="372"/>
    </row>
    <row r="84" spans="1:5" ht="12.75">
      <c r="A84" s="73" t="s">
        <v>166</v>
      </c>
      <c r="B84" s="74" t="s">
        <v>655</v>
      </c>
      <c r="C84" s="318">
        <f>129011.28/196822.43*D63</f>
        <v>1595.2183505507983</v>
      </c>
      <c r="D84" s="371" t="s">
        <v>1043</v>
      </c>
      <c r="E84" s="372"/>
    </row>
    <row r="85" spans="1:5" ht="12.75">
      <c r="A85" s="73" t="s">
        <v>166</v>
      </c>
      <c r="B85" s="74" t="s">
        <v>656</v>
      </c>
      <c r="C85" s="318">
        <f>164128/196822.43*D63</f>
        <v>2029.4349256840287</v>
      </c>
      <c r="D85" s="373" t="s">
        <v>1044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298900.58/196822.43*D63</f>
        <v>3695.891477134999</v>
      </c>
      <c r="D86" s="369" t="s">
        <v>1045</v>
      </c>
      <c r="E86" s="370"/>
    </row>
    <row r="87" ht="13.5" thickBot="1"/>
    <row r="88" spans="2:5" ht="26.25" thickBot="1">
      <c r="B88" s="143"/>
      <c r="C88" s="205" t="s">
        <v>104</v>
      </c>
      <c r="D88" s="236" t="s">
        <v>306</v>
      </c>
      <c r="E88" s="130" t="s">
        <v>305</v>
      </c>
    </row>
    <row r="89" spans="2:5" ht="13.5" thickBot="1">
      <c r="B89" s="363" t="s">
        <v>224</v>
      </c>
      <c r="C89" s="364"/>
      <c r="D89" s="364"/>
      <c r="E89" s="365"/>
    </row>
    <row r="90" spans="2:5" ht="12.75">
      <c r="B90" s="140" t="s">
        <v>285</v>
      </c>
      <c r="C90" s="234">
        <v>158918.02</v>
      </c>
      <c r="D90" s="218">
        <v>184691.92</v>
      </c>
      <c r="E90" s="44">
        <f>D90-C90</f>
        <v>25773.900000000023</v>
      </c>
    </row>
    <row r="91" spans="2:5" ht="12.75">
      <c r="B91" s="115" t="s">
        <v>637</v>
      </c>
      <c r="C91" s="10">
        <v>86458.46</v>
      </c>
      <c r="D91" s="99">
        <v>100181.29</v>
      </c>
      <c r="E91" s="45">
        <f>D91-C91</f>
        <v>13722.829999999987</v>
      </c>
    </row>
    <row r="92" spans="2:5" ht="12.75">
      <c r="B92" s="115" t="s">
        <v>232</v>
      </c>
      <c r="C92" s="10">
        <v>17837.67</v>
      </c>
      <c r="D92" s="99">
        <v>13324.92</v>
      </c>
      <c r="E92" s="45">
        <f>D92-C92</f>
        <v>-4512.749999999998</v>
      </c>
    </row>
    <row r="93" spans="2:5" ht="13.5" thickBot="1">
      <c r="B93" s="124"/>
      <c r="C93" s="252">
        <f>SUM(C90:C92)</f>
        <v>263214.14999999997</v>
      </c>
      <c r="D93" s="252">
        <f>SUM(D90:D92)</f>
        <v>298198.13</v>
      </c>
      <c r="E93" s="119">
        <f>SUM(E90:E92)</f>
        <v>34983.98000000001</v>
      </c>
    </row>
    <row r="94" spans="2:5" ht="13.5" thickBot="1">
      <c r="B94" s="363" t="s">
        <v>303</v>
      </c>
      <c r="C94" s="364"/>
      <c r="D94" s="364"/>
      <c r="E94" s="365"/>
    </row>
    <row r="95" spans="2:5" ht="12.75">
      <c r="B95" s="140" t="s">
        <v>285</v>
      </c>
      <c r="C95" s="234">
        <v>208390.37</v>
      </c>
      <c r="D95" s="218">
        <v>243492.12</v>
      </c>
      <c r="E95" s="44">
        <f>D95-C95</f>
        <v>35101.75</v>
      </c>
    </row>
    <row r="96" spans="2:5" ht="12.75">
      <c r="B96" s="115" t="s">
        <v>637</v>
      </c>
      <c r="C96" s="10">
        <v>118246.85</v>
      </c>
      <c r="D96" s="99">
        <v>118387.55</v>
      </c>
      <c r="E96" s="45">
        <f>D96-C96</f>
        <v>140.6999999999971</v>
      </c>
    </row>
    <row r="97" spans="2:5" ht="12.75">
      <c r="B97" s="115" t="s">
        <v>633</v>
      </c>
      <c r="C97" s="125">
        <v>999.47</v>
      </c>
      <c r="D97" s="125">
        <v>1997.1</v>
      </c>
      <c r="E97" s="45">
        <f>D97-C97</f>
        <v>997.6299999999999</v>
      </c>
    </row>
    <row r="98" spans="2:5" ht="12.75">
      <c r="B98" s="115" t="s">
        <v>232</v>
      </c>
      <c r="C98" s="125">
        <v>15142.83</v>
      </c>
      <c r="D98" s="125">
        <v>19038.42</v>
      </c>
      <c r="E98" s="45">
        <f>D98-C98</f>
        <v>3895.5899999999983</v>
      </c>
    </row>
    <row r="99" spans="2:5" ht="26.25" thickBot="1">
      <c r="B99" s="156" t="s">
        <v>119</v>
      </c>
      <c r="C99" s="142">
        <v>7050</v>
      </c>
      <c r="D99" s="142">
        <v>7050</v>
      </c>
      <c r="E99" s="246">
        <f>D99-C99</f>
        <v>0</v>
      </c>
    </row>
    <row r="100" spans="2:5" ht="13.5" thickBot="1">
      <c r="B100" s="187"/>
      <c r="C100" s="254">
        <f>SUM(C95:C99)</f>
        <v>349829.51999999996</v>
      </c>
      <c r="D100" s="255">
        <f>SUM(D95:D99)</f>
        <v>389965.18999999994</v>
      </c>
      <c r="E100" s="256">
        <f>SUM(E95:E99)</f>
        <v>40135.66999999999</v>
      </c>
    </row>
    <row r="101" spans="2:5" ht="13.5" thickBot="1">
      <c r="B101" s="363" t="s">
        <v>409</v>
      </c>
      <c r="C101" s="364"/>
      <c r="D101" s="364"/>
      <c r="E101" s="365"/>
    </row>
    <row r="102" spans="2:5" ht="12.75">
      <c r="B102" s="335" t="s">
        <v>285</v>
      </c>
      <c r="C102" s="326">
        <v>246944.36</v>
      </c>
      <c r="D102" s="327">
        <v>243492.12</v>
      </c>
      <c r="E102" s="328">
        <f>D102-C102</f>
        <v>-3452.2399999999907</v>
      </c>
    </row>
    <row r="103" spans="2:5" ht="12.75">
      <c r="B103" s="336" t="s">
        <v>637</v>
      </c>
      <c r="C103" s="13">
        <v>120841.51</v>
      </c>
      <c r="D103" s="329">
        <v>118387.55</v>
      </c>
      <c r="E103" s="330">
        <f>D103-C103</f>
        <v>-2453.959999999992</v>
      </c>
    </row>
    <row r="104" spans="2:5" ht="12.75">
      <c r="B104" s="336" t="s">
        <v>633</v>
      </c>
      <c r="C104" s="331">
        <v>11602.87</v>
      </c>
      <c r="D104" s="331">
        <v>14372.7</v>
      </c>
      <c r="E104" s="332">
        <f>D104-C104</f>
        <v>2769.83</v>
      </c>
    </row>
    <row r="105" spans="2:5" ht="12.75">
      <c r="B105" s="336" t="s">
        <v>232</v>
      </c>
      <c r="C105" s="331">
        <v>19651.24</v>
      </c>
      <c r="D105" s="331">
        <v>18635.4</v>
      </c>
      <c r="E105" s="332">
        <f>D105-C105</f>
        <v>-1015.8400000000001</v>
      </c>
    </row>
    <row r="106" spans="2:5" ht="25.5">
      <c r="B106" s="269" t="s">
        <v>119</v>
      </c>
      <c r="C106" s="331">
        <v>4200</v>
      </c>
      <c r="D106" s="331">
        <v>4200</v>
      </c>
      <c r="E106" s="332">
        <f>D106-C106</f>
        <v>0</v>
      </c>
    </row>
    <row r="107" spans="2:5" ht="13.5" thickBot="1">
      <c r="B107" s="337" t="s">
        <v>1200</v>
      </c>
      <c r="C107" s="333">
        <v>7324.54</v>
      </c>
      <c r="D107" s="333">
        <v>7324.54</v>
      </c>
      <c r="E107" s="334">
        <v>0</v>
      </c>
    </row>
    <row r="108" spans="2:5" ht="13.5" thickBot="1">
      <c r="B108" s="324"/>
      <c r="C108" s="119">
        <f>SUM(C102:C107)</f>
        <v>410564.51999999996</v>
      </c>
      <c r="D108" s="119">
        <f>SUM(D102:D107)</f>
        <v>406412.31</v>
      </c>
      <c r="E108" s="119">
        <f>SUM(E102:E107)</f>
        <v>-4152.209999999983</v>
      </c>
    </row>
    <row r="109" spans="2:5" ht="13.5" thickBot="1">
      <c r="B109" s="363" t="s">
        <v>976</v>
      </c>
      <c r="C109" s="364"/>
      <c r="D109" s="364"/>
      <c r="E109" s="365"/>
    </row>
    <row r="110" spans="2:5" ht="12.75">
      <c r="B110" s="140" t="s">
        <v>285</v>
      </c>
      <c r="C110" s="141">
        <v>252598.24</v>
      </c>
      <c r="D110" s="155">
        <v>275111.67</v>
      </c>
      <c r="E110" s="253">
        <f aca="true" t="shared" si="1" ref="E110:E116">D110-C110</f>
        <v>22513.429999999993</v>
      </c>
    </row>
    <row r="111" spans="2:5" ht="12.75">
      <c r="B111" s="115" t="s">
        <v>637</v>
      </c>
      <c r="C111" s="5">
        <v>122559.25</v>
      </c>
      <c r="D111" s="33">
        <v>133777.56</v>
      </c>
      <c r="E111" s="53">
        <f t="shared" si="1"/>
        <v>11218.309999999998</v>
      </c>
    </row>
    <row r="112" spans="2:5" ht="12.75">
      <c r="B112" s="115" t="s">
        <v>633</v>
      </c>
      <c r="C112" s="65">
        <v>30891.17</v>
      </c>
      <c r="D112" s="70">
        <v>35653.71</v>
      </c>
      <c r="E112" s="81">
        <f t="shared" si="1"/>
        <v>4762.540000000001</v>
      </c>
    </row>
    <row r="113" spans="2:5" ht="12.75">
      <c r="B113" s="278" t="s">
        <v>792</v>
      </c>
      <c r="C113" s="122">
        <v>4350</v>
      </c>
      <c r="D113" s="122">
        <v>4650</v>
      </c>
      <c r="E113" s="81">
        <f t="shared" si="1"/>
        <v>300</v>
      </c>
    </row>
    <row r="114" spans="2:5" ht="12.75">
      <c r="B114" s="115" t="s">
        <v>232</v>
      </c>
      <c r="C114" s="125">
        <v>18458.82</v>
      </c>
      <c r="D114" s="125">
        <v>18458.82</v>
      </c>
      <c r="E114" s="81">
        <f t="shared" si="1"/>
        <v>0</v>
      </c>
    </row>
    <row r="115" spans="2:5" ht="12.75">
      <c r="B115" s="278" t="s">
        <v>364</v>
      </c>
      <c r="C115" s="122">
        <v>51595.96</v>
      </c>
      <c r="D115" s="122">
        <v>65094.61</v>
      </c>
      <c r="E115" s="81">
        <f t="shared" si="1"/>
        <v>13498.650000000001</v>
      </c>
    </row>
    <row r="116" spans="2:5" ht="13.5" thickBot="1">
      <c r="B116" s="157" t="s">
        <v>1200</v>
      </c>
      <c r="C116" s="229">
        <v>1005.53</v>
      </c>
      <c r="D116" s="229">
        <v>1005.53</v>
      </c>
      <c r="E116" s="85">
        <f t="shared" si="1"/>
        <v>0</v>
      </c>
    </row>
    <row r="117" spans="2:5" ht="13.5" thickBot="1">
      <c r="B117" s="338"/>
      <c r="C117" s="135">
        <f>SUM(C110:C116)</f>
        <v>481458.97000000003</v>
      </c>
      <c r="D117" s="135">
        <f>SUM(D110:D116)</f>
        <v>533751.9</v>
      </c>
      <c r="E117" s="210">
        <f>SUM(E110:E116)</f>
        <v>52292.92999999999</v>
      </c>
    </row>
    <row r="118" spans="2:5" ht="13.5" thickBot="1">
      <c r="B118" s="363" t="s">
        <v>87</v>
      </c>
      <c r="C118" s="364"/>
      <c r="D118" s="364"/>
      <c r="E118" s="365"/>
    </row>
    <row r="119" spans="2:5" ht="12.75">
      <c r="B119" s="140" t="s">
        <v>285</v>
      </c>
      <c r="C119" s="234">
        <v>292954.29</v>
      </c>
      <c r="D119" s="218">
        <f>287511.98+1.01</f>
        <v>287512.99</v>
      </c>
      <c r="E119" s="253">
        <f aca="true" t="shared" si="2" ref="E119:E126">D119-C119</f>
        <v>-5441.299999999988</v>
      </c>
    </row>
    <row r="120" spans="2:5" ht="12.75">
      <c r="B120" s="115" t="s">
        <v>637</v>
      </c>
      <c r="C120" s="10">
        <v>143338.01</v>
      </c>
      <c r="D120" s="98">
        <v>141752.1</v>
      </c>
      <c r="E120" s="53">
        <f t="shared" si="2"/>
        <v>-1585.9100000000035</v>
      </c>
    </row>
    <row r="121" spans="2:5" ht="12.75">
      <c r="B121" s="115" t="s">
        <v>364</v>
      </c>
      <c r="C121" s="10">
        <v>40675.26</v>
      </c>
      <c r="D121" s="98">
        <v>31824.17</v>
      </c>
      <c r="E121" s="81">
        <f t="shared" si="2"/>
        <v>-8851.090000000004</v>
      </c>
    </row>
    <row r="122" spans="2:5" ht="12.75">
      <c r="B122" s="115" t="s">
        <v>633</v>
      </c>
      <c r="C122" s="10">
        <v>43651.37</v>
      </c>
      <c r="D122" s="98">
        <v>43490.7</v>
      </c>
      <c r="E122" s="81">
        <f t="shared" si="2"/>
        <v>-160.67000000000553</v>
      </c>
    </row>
    <row r="123" spans="2:5" ht="12.75">
      <c r="B123" s="115" t="s">
        <v>234</v>
      </c>
      <c r="C123" s="10">
        <v>21887.48</v>
      </c>
      <c r="D123" s="98">
        <v>22990.15</v>
      </c>
      <c r="E123" s="81">
        <f t="shared" si="2"/>
        <v>1102.670000000002</v>
      </c>
    </row>
    <row r="124" spans="2:5" ht="12.75">
      <c r="B124" s="115" t="s">
        <v>1036</v>
      </c>
      <c r="C124" s="10">
        <v>2736.09</v>
      </c>
      <c r="D124" s="98">
        <v>2736.09</v>
      </c>
      <c r="E124" s="81">
        <f t="shared" si="2"/>
        <v>0</v>
      </c>
    </row>
    <row r="125" spans="2:5" ht="12.75">
      <c r="B125" s="115" t="s">
        <v>232</v>
      </c>
      <c r="C125" s="125">
        <v>22541.15</v>
      </c>
      <c r="D125" s="125">
        <v>21112.81</v>
      </c>
      <c r="E125" s="81">
        <f t="shared" si="2"/>
        <v>-1428.3400000000001</v>
      </c>
    </row>
    <row r="126" spans="2:5" ht="13.5" thickBot="1">
      <c r="B126" s="157" t="s">
        <v>29</v>
      </c>
      <c r="C126" s="225">
        <f>3500+3600+5000</f>
        <v>12100</v>
      </c>
      <c r="D126" s="227">
        <f>4200+3300</f>
        <v>7500</v>
      </c>
      <c r="E126" s="85">
        <f t="shared" si="2"/>
        <v>-4600</v>
      </c>
    </row>
    <row r="127" spans="2:5" ht="13.5" thickBot="1">
      <c r="B127" s="338"/>
      <c r="C127" s="135">
        <f>SUM(C119:C126)</f>
        <v>579883.65</v>
      </c>
      <c r="D127" s="135">
        <f>SUM(D119:D126)</f>
        <v>558919.01</v>
      </c>
      <c r="E127" s="210">
        <f>SUM(E119:E126)</f>
        <v>-20964.64</v>
      </c>
    </row>
    <row r="128" spans="2:5" ht="13.5" thickBot="1">
      <c r="B128" s="366" t="s">
        <v>379</v>
      </c>
      <c r="C128" s="367"/>
      <c r="D128" s="367"/>
      <c r="E128" s="368"/>
    </row>
    <row r="129" spans="2:5" ht="13.5" thickBot="1">
      <c r="B129" s="153"/>
      <c r="C129" s="117">
        <f>C93+C100+C108+C117+C127</f>
        <v>2084950.81</v>
      </c>
      <c r="D129" s="117">
        <f>D93+D100+D108+D117+D127</f>
        <v>2187246.54</v>
      </c>
      <c r="E129" s="117">
        <f>E93+E100+E108+E117+E127</f>
        <v>102295.73000000001</v>
      </c>
    </row>
  </sheetData>
  <sheetProtection/>
  <mergeCells count="23">
    <mergeCell ref="A6:E6"/>
    <mergeCell ref="A22:D22"/>
    <mergeCell ref="A23:D23"/>
    <mergeCell ref="D27:E27"/>
    <mergeCell ref="A2:B2"/>
    <mergeCell ref="C2:E2"/>
    <mergeCell ref="C3:E3"/>
    <mergeCell ref="B4:E4"/>
    <mergeCell ref="D82:E82"/>
    <mergeCell ref="D83:E83"/>
    <mergeCell ref="D84:E84"/>
    <mergeCell ref="D85:E85"/>
    <mergeCell ref="D78:E78"/>
    <mergeCell ref="D79:E79"/>
    <mergeCell ref="D80:E80"/>
    <mergeCell ref="D81:E81"/>
    <mergeCell ref="B109:E109"/>
    <mergeCell ref="B128:E128"/>
    <mergeCell ref="B118:E118"/>
    <mergeCell ref="D86:E86"/>
    <mergeCell ref="B89:E89"/>
    <mergeCell ref="B94:E94"/>
    <mergeCell ref="B101:E10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7.375" style="0" customWidth="1"/>
    <col min="3" max="3" width="10.375" style="0" customWidth="1"/>
    <col min="4" max="4" width="12.625" style="0" customWidth="1"/>
    <col min="5" max="5" width="13.1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216</v>
      </c>
      <c r="C7" s="26"/>
      <c r="D7" s="24"/>
    </row>
    <row r="8" spans="1:4" ht="15">
      <c r="A8" s="26"/>
      <c r="B8" s="27" t="s">
        <v>115</v>
      </c>
      <c r="C8" s="38">
        <v>2268.5</v>
      </c>
      <c r="D8" s="92" t="s">
        <v>116</v>
      </c>
    </row>
    <row r="9" spans="1:4" ht="15">
      <c r="A9" s="26"/>
      <c r="B9" s="27" t="s">
        <v>654</v>
      </c>
      <c r="C9" s="93">
        <v>141.5</v>
      </c>
      <c r="D9" s="92" t="s">
        <v>116</v>
      </c>
    </row>
    <row r="10" spans="1:4" ht="15">
      <c r="A10" s="26"/>
      <c r="B10" s="27"/>
      <c r="C10" s="38"/>
      <c r="D10" s="92"/>
    </row>
    <row r="11" spans="1:5" ht="13.5" thickBot="1">
      <c r="A11" s="23" t="s">
        <v>635</v>
      </c>
      <c r="B11" s="3" t="s">
        <v>636</v>
      </c>
      <c r="C11" s="12"/>
      <c r="D11" s="21"/>
      <c r="E11" s="31"/>
    </row>
    <row r="12" spans="1:5" ht="39" thickBot="1">
      <c r="A12" s="237"/>
      <c r="B12" s="238" t="s">
        <v>103</v>
      </c>
      <c r="C12" s="239" t="s">
        <v>104</v>
      </c>
      <c r="D12" s="240" t="s">
        <v>306</v>
      </c>
      <c r="E12" s="241" t="s">
        <v>378</v>
      </c>
    </row>
    <row r="13" spans="1:5" ht="12.75">
      <c r="A13" s="113">
        <v>1</v>
      </c>
      <c r="B13" s="141" t="s">
        <v>285</v>
      </c>
      <c r="C13" s="234">
        <v>258580.76</v>
      </c>
      <c r="D13" s="218">
        <v>278340.38</v>
      </c>
      <c r="E13" s="242">
        <f aca="true" t="shared" si="0" ref="E13:E20">D13-C13</f>
        <v>19759.619999999995</v>
      </c>
    </row>
    <row r="14" spans="1:5" ht="12.75">
      <c r="A14" s="84">
        <v>2</v>
      </c>
      <c r="B14" s="5" t="s">
        <v>637</v>
      </c>
      <c r="C14" s="10">
        <v>127653.9</v>
      </c>
      <c r="D14" s="98">
        <v>137880.18</v>
      </c>
      <c r="E14" s="57">
        <f t="shared" si="0"/>
        <v>10226.279999999999</v>
      </c>
    </row>
    <row r="15" spans="1:5" ht="12.75">
      <c r="A15" s="84">
        <v>3</v>
      </c>
      <c r="B15" s="5" t="s">
        <v>364</v>
      </c>
      <c r="C15" s="10">
        <v>33211.21</v>
      </c>
      <c r="D15" s="98">
        <v>32004.56</v>
      </c>
      <c r="E15" s="57">
        <f t="shared" si="0"/>
        <v>-1206.6499999999978</v>
      </c>
    </row>
    <row r="16" spans="1:5" ht="12.75">
      <c r="A16" s="84">
        <v>4</v>
      </c>
      <c r="B16" s="5" t="s">
        <v>633</v>
      </c>
      <c r="C16" s="10">
        <v>44294.97</v>
      </c>
      <c r="D16" s="98">
        <v>48999.6</v>
      </c>
      <c r="E16" s="57">
        <f t="shared" si="0"/>
        <v>4704.629999999997</v>
      </c>
    </row>
    <row r="17" spans="1:5" ht="12.75">
      <c r="A17" s="84">
        <v>5</v>
      </c>
      <c r="B17" s="5" t="s">
        <v>234</v>
      </c>
      <c r="C17" s="10">
        <v>18148.11</v>
      </c>
      <c r="D17" s="98">
        <v>19658.34</v>
      </c>
      <c r="E17" s="57">
        <f t="shared" si="0"/>
        <v>1510.2299999999996</v>
      </c>
    </row>
    <row r="18" spans="1:5" ht="12.75">
      <c r="A18" s="84">
        <v>6</v>
      </c>
      <c r="B18" s="5" t="s">
        <v>1036</v>
      </c>
      <c r="C18" s="10">
        <v>4297.94</v>
      </c>
      <c r="D18" s="98">
        <v>4297.94</v>
      </c>
      <c r="E18" s="57">
        <f t="shared" si="0"/>
        <v>0</v>
      </c>
    </row>
    <row r="19" spans="1:5" ht="12.75">
      <c r="A19" s="87">
        <v>7</v>
      </c>
      <c r="B19" s="5" t="s">
        <v>232</v>
      </c>
      <c r="C19" s="125">
        <f>7005.28+7784.81+6144.05+5698.44+776.96</f>
        <v>27409.539999999997</v>
      </c>
      <c r="D19" s="125">
        <f>8436.27+7784.81+4985.29+8535.02</f>
        <v>29741.390000000003</v>
      </c>
      <c r="E19" s="128">
        <f t="shared" si="0"/>
        <v>2331.850000000006</v>
      </c>
    </row>
    <row r="20" spans="1:5" ht="12.75">
      <c r="A20" s="84">
        <v>8</v>
      </c>
      <c r="B20" s="5" t="s">
        <v>29</v>
      </c>
      <c r="C20" s="10">
        <f>3500+3600+10170+3390</f>
        <v>20660</v>
      </c>
      <c r="D20" s="98">
        <f>4200+3300+13560</f>
        <v>21060</v>
      </c>
      <c r="E20" s="57">
        <f t="shared" si="0"/>
        <v>400</v>
      </c>
    </row>
    <row r="21" spans="1:5" ht="13.5" thickBot="1">
      <c r="A21" s="250"/>
      <c r="B21" s="251"/>
      <c r="C21" s="118">
        <f>SUM(C13:C20)</f>
        <v>534256.43</v>
      </c>
      <c r="D21" s="118">
        <f>SUM(D13:D20)</f>
        <v>571982.39</v>
      </c>
      <c r="E21" s="137">
        <f>SUM(E13:E20)</f>
        <v>37725.95999999999</v>
      </c>
    </row>
    <row r="22" spans="1:5" ht="12.75">
      <c r="A22" s="385" t="s">
        <v>793</v>
      </c>
      <c r="B22" s="386"/>
      <c r="C22" s="386"/>
      <c r="D22" s="386"/>
      <c r="E22" s="108">
        <f>E133</f>
        <v>140588.66</v>
      </c>
    </row>
    <row r="23" spans="1:5" ht="12.75">
      <c r="A23" s="387" t="s">
        <v>794</v>
      </c>
      <c r="B23" s="384"/>
      <c r="C23" s="384"/>
      <c r="D23" s="384"/>
      <c r="E23" s="22">
        <v>131749.06</v>
      </c>
    </row>
    <row r="24" spans="1:2" ht="12.75">
      <c r="A24" s="37"/>
      <c r="B24" s="3" t="s">
        <v>217</v>
      </c>
    </row>
    <row r="25" spans="1:2" ht="13.5" thickBot="1">
      <c r="A25" s="37"/>
      <c r="B25" s="30" t="s">
        <v>964</v>
      </c>
    </row>
    <row r="26" spans="1:5" ht="12.75">
      <c r="A26" s="86">
        <v>1</v>
      </c>
      <c r="B26" s="64" t="s">
        <v>1095</v>
      </c>
      <c r="C26" s="80">
        <f>C63</f>
        <v>177827.46</v>
      </c>
      <c r="E26" s="29"/>
    </row>
    <row r="27" spans="1:5" ht="12.75">
      <c r="A27" s="91">
        <v>2</v>
      </c>
      <c r="B27" s="25" t="s">
        <v>344</v>
      </c>
      <c r="C27" s="102">
        <f>C68</f>
        <v>10437.2</v>
      </c>
      <c r="D27" s="388"/>
      <c r="E27" s="389"/>
    </row>
    <row r="28" spans="1:5" ht="12.75">
      <c r="A28" s="84">
        <v>3</v>
      </c>
      <c r="B28" s="9" t="s">
        <v>649</v>
      </c>
      <c r="C28" s="48">
        <v>5200.45</v>
      </c>
      <c r="E28" s="29"/>
    </row>
    <row r="29" spans="1:5" ht="12.75">
      <c r="A29" s="84">
        <v>4</v>
      </c>
      <c r="B29" s="9" t="s">
        <v>122</v>
      </c>
      <c r="C29" s="48">
        <f>(C8*0.55*12)</f>
        <v>14972.100000000002</v>
      </c>
      <c r="E29" s="29"/>
    </row>
    <row r="30" spans="1:5" ht="12.75">
      <c r="A30" s="84">
        <v>5</v>
      </c>
      <c r="B30" s="9" t="s">
        <v>658</v>
      </c>
      <c r="C30" s="79">
        <v>35766.12</v>
      </c>
      <c r="E30" s="29"/>
    </row>
    <row r="31" spans="1:5" ht="12.75">
      <c r="A31" s="91">
        <v>6</v>
      </c>
      <c r="B31" s="25" t="s">
        <v>61</v>
      </c>
      <c r="C31" s="203">
        <v>1200</v>
      </c>
      <c r="E31" s="29"/>
    </row>
    <row r="32" spans="1:5" ht="12.75">
      <c r="A32" s="91">
        <v>7</v>
      </c>
      <c r="B32" s="25" t="s">
        <v>1006</v>
      </c>
      <c r="C32" s="203">
        <v>18923.01</v>
      </c>
      <c r="E32" s="29"/>
    </row>
    <row r="33" spans="1:5" ht="12.75">
      <c r="A33" s="91">
        <v>8</v>
      </c>
      <c r="B33" s="346" t="s">
        <v>26</v>
      </c>
      <c r="C33" s="96">
        <v>600</v>
      </c>
      <c r="E33" s="29"/>
    </row>
    <row r="34" spans="1:5" ht="25.5">
      <c r="A34" s="91">
        <v>9</v>
      </c>
      <c r="B34" s="25" t="s">
        <v>60</v>
      </c>
      <c r="C34" s="96">
        <v>2625</v>
      </c>
      <c r="E34" s="29"/>
    </row>
    <row r="35" spans="1:5" ht="38.25">
      <c r="A35" s="91">
        <v>10</v>
      </c>
      <c r="B35" s="25" t="s">
        <v>246</v>
      </c>
      <c r="C35" s="349">
        <v>1823.88</v>
      </c>
      <c r="E35" s="29"/>
    </row>
    <row r="36" spans="1:3" ht="12.75">
      <c r="A36" s="50"/>
      <c r="B36" s="20" t="s">
        <v>629</v>
      </c>
      <c r="C36" s="51">
        <f>SUM(C26:C35)</f>
        <v>269375.22000000003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(C21)*15%</f>
        <v>80138.4645</v>
      </c>
    </row>
    <row r="39" spans="1:3" ht="12.75">
      <c r="A39" s="84">
        <v>2</v>
      </c>
      <c r="B39" s="9" t="s">
        <v>813</v>
      </c>
      <c r="C39" s="48">
        <f>C74</f>
        <v>4913.243892310399</v>
      </c>
    </row>
    <row r="40" spans="1:3" ht="12.75">
      <c r="A40" s="84">
        <v>3</v>
      </c>
      <c r="B40" s="9" t="s">
        <v>653</v>
      </c>
      <c r="C40" s="48">
        <f>C75</f>
        <v>5336.510881286021</v>
      </c>
    </row>
    <row r="41" spans="1:3" ht="12.75">
      <c r="A41" s="84">
        <v>4</v>
      </c>
      <c r="B41" s="9" t="s">
        <v>1114</v>
      </c>
      <c r="C41" s="52">
        <f>C76</f>
        <v>10833.33045535501</v>
      </c>
    </row>
    <row r="42" spans="1:3" ht="12.75">
      <c r="A42" s="84">
        <v>5</v>
      </c>
      <c r="B42" s="9" t="s">
        <v>162</v>
      </c>
      <c r="C42" s="52">
        <f>C77</f>
        <v>8409.525091286148</v>
      </c>
    </row>
    <row r="43" spans="1:3" ht="12.75">
      <c r="A43" s="84">
        <v>6</v>
      </c>
      <c r="B43" s="9" t="s">
        <v>1051</v>
      </c>
      <c r="C43" s="48">
        <f>C78+C80+C81+C82+C79</f>
        <v>14270.928527973942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123902.00334821154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C21*2%</f>
        <v>10685.128600000002</v>
      </c>
    </row>
    <row r="51" spans="1:3" ht="12.75">
      <c r="A51" s="84">
        <v>2</v>
      </c>
      <c r="B51" s="9" t="s">
        <v>391</v>
      </c>
      <c r="C51" s="48">
        <f>C52</f>
        <v>31414.278084</v>
      </c>
    </row>
    <row r="52" spans="1:4" ht="12.75">
      <c r="A52" s="49"/>
      <c r="B52" s="5" t="s">
        <v>334</v>
      </c>
      <c r="C52" s="41">
        <f>(C21-C50)*6%</f>
        <v>31414.278084</v>
      </c>
      <c r="D52" s="19"/>
    </row>
    <row r="53" spans="1:3" ht="13.5" thickBot="1">
      <c r="A53" s="54"/>
      <c r="B53" s="55" t="s">
        <v>967</v>
      </c>
      <c r="C53" s="56">
        <f>C50+C51</f>
        <v>42099.406684</v>
      </c>
    </row>
    <row r="54" spans="1:3" ht="12.75">
      <c r="A54" s="23"/>
      <c r="B54" s="4" t="s">
        <v>288</v>
      </c>
      <c r="C54" s="11">
        <f>C36+C48+C53</f>
        <v>435376.63003221154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1">
        <v>126583.66</v>
      </c>
    </row>
    <row r="57" spans="1:3" ht="15">
      <c r="A57" s="23"/>
      <c r="B57" s="14" t="s">
        <v>180</v>
      </c>
      <c r="C57" s="11">
        <f>C54+C56-C21</f>
        <v>27703.860032211524</v>
      </c>
    </row>
    <row r="58" ht="12.75">
      <c r="B58" s="1" t="s">
        <v>85</v>
      </c>
    </row>
    <row r="59" ht="18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160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2410</v>
      </c>
      <c r="E62" t="s">
        <v>116</v>
      </c>
    </row>
    <row r="63" spans="1:5" ht="12.75">
      <c r="A63" s="60" t="s">
        <v>218</v>
      </c>
      <c r="B63" s="39" t="s">
        <v>797</v>
      </c>
      <c r="C63" s="47">
        <v>177827.46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6386.65</v>
      </c>
      <c r="D65" s="15"/>
      <c r="E65" s="15"/>
    </row>
    <row r="66" spans="1:5" ht="12.75">
      <c r="A66" s="62" t="s">
        <v>166</v>
      </c>
      <c r="B66" s="6" t="s">
        <v>276</v>
      </c>
      <c r="C66" s="41">
        <v>3750</v>
      </c>
      <c r="D66" s="15"/>
      <c r="E66" s="15"/>
    </row>
    <row r="67" spans="1:5" ht="13.5" thickBot="1">
      <c r="A67" s="63" t="s">
        <v>166</v>
      </c>
      <c r="B67" s="42" t="s">
        <v>818</v>
      </c>
      <c r="C67" s="46">
        <v>3359.36</v>
      </c>
      <c r="D67" s="15"/>
      <c r="E67" s="15"/>
    </row>
    <row r="68" spans="1:5" ht="12.75">
      <c r="A68" s="60" t="s">
        <v>328</v>
      </c>
      <c r="B68" s="39" t="s">
        <v>343</v>
      </c>
      <c r="C68" s="47">
        <v>10437.2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633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129.71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123902.00334821154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C38</f>
        <v>80138.4645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4913.243892310399</v>
      </c>
      <c r="D74" s="375" t="s">
        <v>237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5336.510881286021</v>
      </c>
      <c r="D75" s="377" t="s">
        <v>238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10833.33045535501</v>
      </c>
      <c r="D76" s="379" t="s">
        <v>239</v>
      </c>
      <c r="E76" s="380"/>
    </row>
    <row r="77" spans="1:5" ht="25.5">
      <c r="A77" s="73" t="s">
        <v>166</v>
      </c>
      <c r="B77" s="72" t="s">
        <v>231</v>
      </c>
      <c r="C77" s="318">
        <f>845684.35/242356.05*D62</f>
        <v>8409.525091286148</v>
      </c>
      <c r="D77" s="381" t="s">
        <v>240</v>
      </c>
      <c r="E77" s="382"/>
    </row>
    <row r="78" spans="1:5" ht="12.75">
      <c r="A78" s="73" t="s">
        <v>166</v>
      </c>
      <c r="B78" s="74" t="s">
        <v>808</v>
      </c>
      <c r="C78" s="318">
        <f>642562.44/242356.05*D62</f>
        <v>6389.6712312319</v>
      </c>
      <c r="D78" s="371" t="s">
        <v>241</v>
      </c>
      <c r="E78" s="372"/>
    </row>
    <row r="79" spans="1:5" ht="12.75">
      <c r="A79" s="73" t="s">
        <v>166</v>
      </c>
      <c r="B79" s="74" t="s">
        <v>826</v>
      </c>
      <c r="C79" s="318">
        <f>51615/196822.43*D62</f>
        <v>632.0019014093059</v>
      </c>
      <c r="D79" s="371" t="s">
        <v>242</v>
      </c>
      <c r="E79" s="372"/>
    </row>
    <row r="80" spans="1:5" ht="12.75">
      <c r="A80" s="73" t="s">
        <v>166</v>
      </c>
      <c r="B80" s="74" t="s">
        <v>655</v>
      </c>
      <c r="C80" s="318">
        <f>129011.28/196822.43*D62</f>
        <v>1579.6837017000553</v>
      </c>
      <c r="D80" s="371" t="s">
        <v>243</v>
      </c>
      <c r="E80" s="372"/>
    </row>
    <row r="81" spans="1:5" ht="12.75">
      <c r="A81" s="73" t="s">
        <v>166</v>
      </c>
      <c r="B81" s="74" t="s">
        <v>656</v>
      </c>
      <c r="C81" s="318">
        <f>164128/196822.43*D62</f>
        <v>2009.671763528171</v>
      </c>
      <c r="D81" s="373" t="s">
        <v>244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298900.58/196822.43*D62</f>
        <v>3659.899930104511</v>
      </c>
      <c r="D82" s="369" t="s">
        <v>245</v>
      </c>
      <c r="E82" s="370"/>
    </row>
    <row r="83" ht="13.5" thickBot="1"/>
    <row r="84" spans="2:5" ht="24.75" thickBot="1">
      <c r="B84" s="143"/>
      <c r="C84" s="205" t="s">
        <v>104</v>
      </c>
      <c r="D84" s="236" t="s">
        <v>306</v>
      </c>
      <c r="E84" s="130" t="s">
        <v>305</v>
      </c>
    </row>
    <row r="85" spans="2:5" ht="13.5" thickBot="1">
      <c r="B85" s="363" t="s">
        <v>224</v>
      </c>
      <c r="C85" s="364"/>
      <c r="D85" s="364"/>
      <c r="E85" s="365"/>
    </row>
    <row r="86" spans="2:5" ht="12.75">
      <c r="B86" s="140" t="s">
        <v>285</v>
      </c>
      <c r="C86" s="234">
        <v>173796.22</v>
      </c>
      <c r="D86" s="155">
        <v>186107.52</v>
      </c>
      <c r="E86" s="44">
        <f aca="true" t="shared" si="1" ref="E86:E91">D86-C86</f>
        <v>12311.299999999988</v>
      </c>
    </row>
    <row r="87" spans="2:5" ht="12.75">
      <c r="B87" s="115" t="s">
        <v>637</v>
      </c>
      <c r="C87" s="10">
        <v>95345.97</v>
      </c>
      <c r="D87" s="33">
        <v>100953.85</v>
      </c>
      <c r="E87" s="45">
        <f t="shared" si="1"/>
        <v>5607.880000000005</v>
      </c>
    </row>
    <row r="88" spans="2:5" ht="12.75">
      <c r="B88" s="116" t="s">
        <v>414</v>
      </c>
      <c r="C88" s="94">
        <v>6094.76</v>
      </c>
      <c r="D88" s="70">
        <v>6754.51</v>
      </c>
      <c r="E88" s="45">
        <f t="shared" si="1"/>
        <v>659.75</v>
      </c>
    </row>
    <row r="89" spans="2:5" ht="12.75">
      <c r="B89" s="116" t="s">
        <v>415</v>
      </c>
      <c r="C89" s="94">
        <v>41885.91</v>
      </c>
      <c r="D89" s="70">
        <v>41885.91</v>
      </c>
      <c r="E89" s="45">
        <f t="shared" si="1"/>
        <v>0</v>
      </c>
    </row>
    <row r="90" spans="2:5" ht="12.75">
      <c r="B90" s="116" t="s">
        <v>232</v>
      </c>
      <c r="C90" s="94">
        <v>15677.66</v>
      </c>
      <c r="D90" s="70">
        <v>18892.28</v>
      </c>
      <c r="E90" s="45">
        <f t="shared" si="1"/>
        <v>3214.619999999999</v>
      </c>
    </row>
    <row r="91" spans="2:5" ht="13.5" thickBot="1">
      <c r="B91" s="157" t="s">
        <v>212</v>
      </c>
      <c r="C91" s="247">
        <v>10000</v>
      </c>
      <c r="D91" s="226">
        <v>10000</v>
      </c>
      <c r="E91" s="46">
        <f t="shared" si="1"/>
        <v>0</v>
      </c>
    </row>
    <row r="92" spans="2:5" ht="13.5" thickBot="1">
      <c r="B92" s="120"/>
      <c r="C92" s="257">
        <f>SUM(C86:C91)</f>
        <v>342800.51999999996</v>
      </c>
      <c r="D92" s="257">
        <f>SUM(D86:D91)</f>
        <v>364594.07000000007</v>
      </c>
      <c r="E92" s="210">
        <f>SUM(E86:E91)</f>
        <v>21793.549999999992</v>
      </c>
    </row>
    <row r="93" spans="2:5" ht="13.5" thickBot="1">
      <c r="B93" s="363" t="s">
        <v>303</v>
      </c>
      <c r="C93" s="364"/>
      <c r="D93" s="364"/>
      <c r="E93" s="365"/>
    </row>
    <row r="94" spans="2:5" ht="12.75">
      <c r="B94" s="140" t="s">
        <v>285</v>
      </c>
      <c r="C94" s="234">
        <v>214704.13</v>
      </c>
      <c r="D94" s="218">
        <v>241093.53</v>
      </c>
      <c r="E94" s="44">
        <f aca="true" t="shared" si="2" ref="E94:E100">D94-C94</f>
        <v>26389.399999999994</v>
      </c>
    </row>
    <row r="95" spans="2:5" ht="12.75">
      <c r="B95" s="115" t="s">
        <v>637</v>
      </c>
      <c r="C95" s="10">
        <v>104257.94</v>
      </c>
      <c r="D95" s="99">
        <v>117221.34</v>
      </c>
      <c r="E95" s="45">
        <f t="shared" si="2"/>
        <v>12963.399999999994</v>
      </c>
    </row>
    <row r="96" spans="2:5" ht="12.75">
      <c r="B96" s="115" t="s">
        <v>633</v>
      </c>
      <c r="C96" s="125">
        <v>24917.23</v>
      </c>
      <c r="D96" s="125">
        <v>27342.25</v>
      </c>
      <c r="E96" s="45">
        <f t="shared" si="2"/>
        <v>2425.0200000000004</v>
      </c>
    </row>
    <row r="97" spans="2:5" ht="12.75">
      <c r="B97" s="115" t="s">
        <v>232</v>
      </c>
      <c r="C97" s="125">
        <v>20423.8</v>
      </c>
      <c r="D97" s="125">
        <v>22694</v>
      </c>
      <c r="E97" s="45">
        <f t="shared" si="2"/>
        <v>2270.2000000000007</v>
      </c>
    </row>
    <row r="98" spans="2:5" ht="12.75">
      <c r="B98" s="116" t="s">
        <v>113</v>
      </c>
      <c r="C98" s="258">
        <v>5374.34</v>
      </c>
      <c r="D98" s="258">
        <v>5000</v>
      </c>
      <c r="E98" s="45">
        <f t="shared" si="2"/>
        <v>-374.34000000000015</v>
      </c>
    </row>
    <row r="99" spans="2:5" ht="12.75">
      <c r="B99" s="116" t="s">
        <v>372</v>
      </c>
      <c r="C99" s="258">
        <v>5000</v>
      </c>
      <c r="D99" s="258">
        <v>5000</v>
      </c>
      <c r="E99" s="45">
        <f t="shared" si="2"/>
        <v>0</v>
      </c>
    </row>
    <row r="100" spans="2:5" ht="26.25" thickBot="1">
      <c r="B100" s="156" t="s">
        <v>119</v>
      </c>
      <c r="C100" s="142">
        <v>7050</v>
      </c>
      <c r="D100" s="142">
        <v>7050</v>
      </c>
      <c r="E100" s="246">
        <f t="shared" si="2"/>
        <v>0</v>
      </c>
    </row>
    <row r="101" spans="2:5" ht="13.5" thickBot="1">
      <c r="B101" s="187"/>
      <c r="C101" s="254">
        <f>SUM(C94:C100)</f>
        <v>381727.44</v>
      </c>
      <c r="D101" s="255">
        <f>SUM(D94:D100)</f>
        <v>425401.12</v>
      </c>
      <c r="E101" s="256">
        <f>SUM(E94:E100)</f>
        <v>43673.67999999999</v>
      </c>
    </row>
    <row r="102" spans="2:5" ht="13.5" thickBot="1">
      <c r="B102" s="363" t="s">
        <v>409</v>
      </c>
      <c r="C102" s="364"/>
      <c r="D102" s="364"/>
      <c r="E102" s="365"/>
    </row>
    <row r="103" spans="2:5" ht="12.75">
      <c r="B103" s="140" t="s">
        <v>285</v>
      </c>
      <c r="C103" s="234">
        <v>227648.87</v>
      </c>
      <c r="D103" s="218">
        <v>241024.8</v>
      </c>
      <c r="E103" s="253">
        <f aca="true" t="shared" si="3" ref="E103:E108">D103-C103</f>
        <v>13375.929999999993</v>
      </c>
    </row>
    <row r="104" spans="2:5" ht="12.75">
      <c r="B104" s="115" t="s">
        <v>637</v>
      </c>
      <c r="C104" s="10">
        <v>110481.25</v>
      </c>
      <c r="D104" s="99">
        <v>117188.18</v>
      </c>
      <c r="E104" s="53">
        <f t="shared" si="3"/>
        <v>6706.929999999993</v>
      </c>
    </row>
    <row r="105" spans="2:5" ht="12.75">
      <c r="B105" s="115" t="s">
        <v>633</v>
      </c>
      <c r="C105" s="125">
        <v>26925.59</v>
      </c>
      <c r="D105" s="125">
        <v>27957</v>
      </c>
      <c r="E105" s="81">
        <f t="shared" si="3"/>
        <v>1031.4099999999999</v>
      </c>
    </row>
    <row r="106" spans="2:5" ht="12.75">
      <c r="B106" s="115" t="s">
        <v>232</v>
      </c>
      <c r="C106" s="125">
        <v>23861.24</v>
      </c>
      <c r="D106" s="125">
        <v>18376.42</v>
      </c>
      <c r="E106" s="81">
        <f t="shared" si="3"/>
        <v>-5484.820000000003</v>
      </c>
    </row>
    <row r="107" spans="2:5" ht="12.75">
      <c r="B107" s="115" t="s">
        <v>377</v>
      </c>
      <c r="C107" s="125">
        <v>13560</v>
      </c>
      <c r="D107" s="125">
        <v>13560</v>
      </c>
      <c r="E107" s="81">
        <f t="shared" si="3"/>
        <v>0</v>
      </c>
    </row>
    <row r="108" spans="2:5" ht="25.5">
      <c r="B108" s="220" t="s">
        <v>119</v>
      </c>
      <c r="C108" s="125">
        <v>4200</v>
      </c>
      <c r="D108" s="125">
        <v>4200</v>
      </c>
      <c r="E108" s="81">
        <f t="shared" si="3"/>
        <v>0</v>
      </c>
    </row>
    <row r="109" spans="2:5" ht="13.5" thickBot="1">
      <c r="B109" s="157" t="s">
        <v>1200</v>
      </c>
      <c r="C109" s="142">
        <v>15980.18</v>
      </c>
      <c r="D109" s="142">
        <v>15980.18</v>
      </c>
      <c r="E109" s="85">
        <v>0</v>
      </c>
    </row>
    <row r="110" spans="2:5" ht="13.5" thickBot="1">
      <c r="B110" s="324"/>
      <c r="C110" s="119">
        <f>SUM(C103:C109)</f>
        <v>422657.13</v>
      </c>
      <c r="D110" s="119">
        <f>SUM(D103:D109)</f>
        <v>438286.57999999996</v>
      </c>
      <c r="E110" s="119">
        <f>SUM(E103:E109)</f>
        <v>15629.449999999983</v>
      </c>
    </row>
    <row r="111" spans="2:5" ht="13.5" thickBot="1">
      <c r="B111" s="363" t="s">
        <v>976</v>
      </c>
      <c r="C111" s="364"/>
      <c r="D111" s="364"/>
      <c r="E111" s="365"/>
    </row>
    <row r="112" spans="2:5" ht="12.75">
      <c r="B112" s="140" t="s">
        <v>285</v>
      </c>
      <c r="C112" s="141">
        <v>265337.91</v>
      </c>
      <c r="D112" s="155">
        <v>269169.28</v>
      </c>
      <c r="E112" s="253">
        <f aca="true" t="shared" si="4" ref="E112:E120">D112-C112</f>
        <v>3831.3700000000536</v>
      </c>
    </row>
    <row r="113" spans="2:5" ht="12.75">
      <c r="B113" s="115" t="s">
        <v>637</v>
      </c>
      <c r="C113" s="5">
        <v>128449.77</v>
      </c>
      <c r="D113" s="33">
        <v>130264.29</v>
      </c>
      <c r="E113" s="53">
        <f t="shared" si="4"/>
        <v>1814.5199999999895</v>
      </c>
    </row>
    <row r="114" spans="2:5" ht="12.75">
      <c r="B114" s="115" t="s">
        <v>633</v>
      </c>
      <c r="C114" s="65">
        <v>30954.76</v>
      </c>
      <c r="D114" s="70">
        <v>32422.23</v>
      </c>
      <c r="E114" s="81">
        <f t="shared" si="4"/>
        <v>1467.4700000000012</v>
      </c>
    </row>
    <row r="115" spans="2:5" ht="12.75">
      <c r="B115" s="278" t="s">
        <v>792</v>
      </c>
      <c r="C115" s="122">
        <v>4650</v>
      </c>
      <c r="D115" s="122">
        <v>4950</v>
      </c>
      <c r="E115" s="81">
        <f t="shared" si="4"/>
        <v>300</v>
      </c>
    </row>
    <row r="116" spans="2:5" ht="12.75">
      <c r="B116" s="115" t="s">
        <v>232</v>
      </c>
      <c r="C116" s="125">
        <v>26067.36</v>
      </c>
      <c r="D116" s="125">
        <v>28008.36</v>
      </c>
      <c r="E116" s="81">
        <f t="shared" si="4"/>
        <v>1941</v>
      </c>
    </row>
    <row r="117" spans="2:5" ht="12.75">
      <c r="B117" s="278" t="s">
        <v>364</v>
      </c>
      <c r="C117" s="122">
        <v>49689.47</v>
      </c>
      <c r="D117" s="122">
        <v>58087.54</v>
      </c>
      <c r="E117" s="81">
        <f t="shared" si="4"/>
        <v>8398.07</v>
      </c>
    </row>
    <row r="118" spans="2:5" ht="12.75">
      <c r="B118" s="278" t="s">
        <v>113</v>
      </c>
      <c r="C118" s="122">
        <v>0</v>
      </c>
      <c r="D118" s="122">
        <v>623.59</v>
      </c>
      <c r="E118" s="81">
        <f t="shared" si="4"/>
        <v>623.59</v>
      </c>
    </row>
    <row r="119" spans="2:5" ht="12.75">
      <c r="B119" s="220" t="s">
        <v>377</v>
      </c>
      <c r="C119" s="125">
        <v>10170</v>
      </c>
      <c r="D119" s="125">
        <v>13560</v>
      </c>
      <c r="E119" s="81">
        <f t="shared" si="4"/>
        <v>3390</v>
      </c>
    </row>
    <row r="120" spans="2:5" ht="13.5" thickBot="1">
      <c r="B120" s="157" t="s">
        <v>1200</v>
      </c>
      <c r="C120" s="229">
        <v>7359.1</v>
      </c>
      <c r="D120" s="229">
        <v>7359.1</v>
      </c>
      <c r="E120" s="85">
        <f t="shared" si="4"/>
        <v>0</v>
      </c>
    </row>
    <row r="121" spans="2:5" ht="13.5" thickBot="1">
      <c r="B121" s="324"/>
      <c r="C121" s="119">
        <f>SUM(C112:C120)</f>
        <v>522678.37</v>
      </c>
      <c r="D121" s="119">
        <f>SUM(D112:D120)</f>
        <v>544444.39</v>
      </c>
      <c r="E121" s="119">
        <f>SUM(E112:E120)</f>
        <v>21766.020000000044</v>
      </c>
    </row>
    <row r="122" spans="2:5" ht="13.5" thickBot="1">
      <c r="B122" s="363" t="s">
        <v>87</v>
      </c>
      <c r="C122" s="364"/>
      <c r="D122" s="364"/>
      <c r="E122" s="365"/>
    </row>
    <row r="123" spans="2:5" ht="12.75">
      <c r="B123" s="140" t="s">
        <v>285</v>
      </c>
      <c r="C123" s="234">
        <v>258580.76</v>
      </c>
      <c r="D123" s="218">
        <v>278340.38</v>
      </c>
      <c r="E123" s="253">
        <f aca="true" t="shared" si="5" ref="E123:E130">D123-C123</f>
        <v>19759.619999999995</v>
      </c>
    </row>
    <row r="124" spans="2:5" ht="12.75">
      <c r="B124" s="115" t="s">
        <v>637</v>
      </c>
      <c r="C124" s="10">
        <v>127653.9</v>
      </c>
      <c r="D124" s="98">
        <v>137880.18</v>
      </c>
      <c r="E124" s="53">
        <f t="shared" si="5"/>
        <v>10226.279999999999</v>
      </c>
    </row>
    <row r="125" spans="2:5" ht="12.75">
      <c r="B125" s="115" t="s">
        <v>364</v>
      </c>
      <c r="C125" s="10">
        <v>33211.21</v>
      </c>
      <c r="D125" s="98">
        <v>32004.56</v>
      </c>
      <c r="E125" s="81">
        <f t="shared" si="5"/>
        <v>-1206.6499999999978</v>
      </c>
    </row>
    <row r="126" spans="2:5" ht="12.75">
      <c r="B126" s="115" t="s">
        <v>633</v>
      </c>
      <c r="C126" s="10">
        <v>44294.97</v>
      </c>
      <c r="D126" s="98">
        <v>48999.6</v>
      </c>
      <c r="E126" s="81">
        <f t="shared" si="5"/>
        <v>4704.629999999997</v>
      </c>
    </row>
    <row r="127" spans="2:5" ht="12.75">
      <c r="B127" s="115" t="s">
        <v>234</v>
      </c>
      <c r="C127" s="10">
        <v>18148.11</v>
      </c>
      <c r="D127" s="98">
        <v>19658.34</v>
      </c>
      <c r="E127" s="81">
        <f t="shared" si="5"/>
        <v>1510.2299999999996</v>
      </c>
    </row>
    <row r="128" spans="2:5" ht="12.75">
      <c r="B128" s="115" t="s">
        <v>1036</v>
      </c>
      <c r="C128" s="10">
        <v>4297.94</v>
      </c>
      <c r="D128" s="98">
        <v>4297.94</v>
      </c>
      <c r="E128" s="81">
        <f t="shared" si="5"/>
        <v>0</v>
      </c>
    </row>
    <row r="129" spans="2:5" ht="12.75">
      <c r="B129" s="115" t="s">
        <v>232</v>
      </c>
      <c r="C129" s="125">
        <f>7005.28+7784.81+6144.05+5698.44+776.96</f>
        <v>27409.539999999997</v>
      </c>
      <c r="D129" s="125">
        <f>8436.27+7784.81+4985.29+8535.02</f>
        <v>29741.390000000003</v>
      </c>
      <c r="E129" s="81">
        <f t="shared" si="5"/>
        <v>2331.850000000006</v>
      </c>
    </row>
    <row r="130" spans="2:5" ht="13.5" thickBot="1">
      <c r="B130" s="157" t="s">
        <v>29</v>
      </c>
      <c r="C130" s="225">
        <f>3500+3600+10170+3390</f>
        <v>20660</v>
      </c>
      <c r="D130" s="227">
        <f>4200+3300+13560</f>
        <v>21060</v>
      </c>
      <c r="E130" s="85">
        <f t="shared" si="5"/>
        <v>400</v>
      </c>
    </row>
    <row r="131" spans="2:5" ht="13.5" thickBot="1">
      <c r="B131" s="324"/>
      <c r="C131" s="119">
        <f>SUM(C123:C130)</f>
        <v>534256.43</v>
      </c>
      <c r="D131" s="119">
        <f>SUM(D123:D130)</f>
        <v>571982.39</v>
      </c>
      <c r="E131" s="119">
        <f>SUM(E123:E130)</f>
        <v>37725.95999999999</v>
      </c>
    </row>
    <row r="132" spans="2:5" ht="13.5" thickBot="1">
      <c r="B132" s="366" t="s">
        <v>379</v>
      </c>
      <c r="C132" s="367"/>
      <c r="D132" s="367"/>
      <c r="E132" s="368"/>
    </row>
    <row r="133" spans="2:5" ht="13.5" thickBot="1">
      <c r="B133" s="153"/>
      <c r="C133" s="117">
        <f>C92+C101+C110+C121+C131</f>
        <v>2204119.89</v>
      </c>
      <c r="D133" s="117">
        <f>D92+D101+D110+D121+D131</f>
        <v>2344708.5500000003</v>
      </c>
      <c r="E133" s="117">
        <f>E92+E101+E110+E121+E131</f>
        <v>140588.66</v>
      </c>
    </row>
  </sheetData>
  <sheetProtection/>
  <mergeCells count="23">
    <mergeCell ref="A6:E6"/>
    <mergeCell ref="A22:D22"/>
    <mergeCell ref="A23:D23"/>
    <mergeCell ref="D27:E27"/>
    <mergeCell ref="A2:B2"/>
    <mergeCell ref="C2:E2"/>
    <mergeCell ref="C3:E3"/>
    <mergeCell ref="B4:E4"/>
    <mergeCell ref="D78:E78"/>
    <mergeCell ref="D79:E79"/>
    <mergeCell ref="D80:E80"/>
    <mergeCell ref="D81:E81"/>
    <mergeCell ref="D74:E74"/>
    <mergeCell ref="D75:E75"/>
    <mergeCell ref="D76:E76"/>
    <mergeCell ref="D77:E77"/>
    <mergeCell ref="B111:E111"/>
    <mergeCell ref="B132:E132"/>
    <mergeCell ref="B122:E122"/>
    <mergeCell ref="D82:E82"/>
    <mergeCell ref="B85:E85"/>
    <mergeCell ref="B93:E93"/>
    <mergeCell ref="B102:E102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7.625" style="0" customWidth="1"/>
    <col min="3" max="3" width="10.37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1220</v>
      </c>
      <c r="C7" s="26"/>
      <c r="D7" s="24"/>
    </row>
    <row r="8" spans="1:4" ht="15">
      <c r="A8" s="26"/>
      <c r="B8" s="27" t="s">
        <v>115</v>
      </c>
      <c r="C8" s="38">
        <v>2363.4</v>
      </c>
      <c r="D8" s="92" t="s">
        <v>116</v>
      </c>
    </row>
    <row r="9" spans="1:4" ht="15">
      <c r="A9" s="26"/>
      <c r="B9" s="27" t="s">
        <v>654</v>
      </c>
      <c r="C9" s="93">
        <v>112.6</v>
      </c>
      <c r="D9" s="92" t="s">
        <v>116</v>
      </c>
    </row>
    <row r="10" spans="1:4" ht="15">
      <c r="A10" s="26"/>
      <c r="B10" s="27"/>
      <c r="C10" s="38"/>
      <c r="D10" s="92"/>
    </row>
    <row r="11" spans="1:5" ht="13.5" thickBot="1">
      <c r="A11" s="23" t="s">
        <v>635</v>
      </c>
      <c r="B11" s="3" t="s">
        <v>636</v>
      </c>
      <c r="C11" s="12"/>
      <c r="D11" s="21"/>
      <c r="E11" s="31"/>
    </row>
    <row r="12" spans="1:5" ht="39" thickBot="1">
      <c r="A12" s="237"/>
      <c r="B12" s="238" t="s">
        <v>103</v>
      </c>
      <c r="C12" s="239" t="s">
        <v>104</v>
      </c>
      <c r="D12" s="240" t="s">
        <v>306</v>
      </c>
      <c r="E12" s="241" t="s">
        <v>378</v>
      </c>
    </row>
    <row r="13" spans="1:5" ht="12.75">
      <c r="A13" s="113">
        <v>1</v>
      </c>
      <c r="B13" s="141" t="s">
        <v>285</v>
      </c>
      <c r="C13" s="234">
        <v>263070.97</v>
      </c>
      <c r="D13" s="218">
        <v>292416.08</v>
      </c>
      <c r="E13" s="242">
        <f aca="true" t="shared" si="0" ref="E13:E20">D13-C13</f>
        <v>29345.110000000044</v>
      </c>
    </row>
    <row r="14" spans="1:5" ht="12.75">
      <c r="A14" s="84">
        <v>2</v>
      </c>
      <c r="B14" s="5" t="s">
        <v>637</v>
      </c>
      <c r="C14" s="10">
        <f>128611.02+965.19</f>
        <v>129576.21</v>
      </c>
      <c r="D14" s="98">
        <f>143695.75+242.95</f>
        <v>143938.7</v>
      </c>
      <c r="E14" s="57">
        <f t="shared" si="0"/>
        <v>14362.490000000005</v>
      </c>
    </row>
    <row r="15" spans="1:5" ht="12.75">
      <c r="A15" s="84">
        <v>3</v>
      </c>
      <c r="B15" s="5" t="s">
        <v>364</v>
      </c>
      <c r="C15" s="10">
        <v>26027.99</v>
      </c>
      <c r="D15" s="98">
        <v>30924.15</v>
      </c>
      <c r="E15" s="57">
        <f t="shared" si="0"/>
        <v>4896.16</v>
      </c>
    </row>
    <row r="16" spans="1:5" ht="12.75">
      <c r="A16" s="84">
        <v>4</v>
      </c>
      <c r="B16" s="5" t="s">
        <v>633</v>
      </c>
      <c r="C16" s="10">
        <v>39790.12</v>
      </c>
      <c r="D16" s="98">
        <v>45140.74</v>
      </c>
      <c r="E16" s="57">
        <f t="shared" si="0"/>
        <v>5350.619999999995</v>
      </c>
    </row>
    <row r="17" spans="1:5" ht="12.75">
      <c r="A17" s="84">
        <v>5</v>
      </c>
      <c r="B17" s="5" t="s">
        <v>234</v>
      </c>
      <c r="C17" s="10">
        <v>19838.26</v>
      </c>
      <c r="D17" s="98">
        <v>20875.66</v>
      </c>
      <c r="E17" s="57">
        <f t="shared" si="0"/>
        <v>1037.4000000000015</v>
      </c>
    </row>
    <row r="18" spans="1:5" ht="12.75">
      <c r="A18" s="84">
        <v>6</v>
      </c>
      <c r="B18" s="5" t="s">
        <v>257</v>
      </c>
      <c r="C18" s="10">
        <v>5355</v>
      </c>
      <c r="D18" s="98">
        <v>5355</v>
      </c>
      <c r="E18" s="57">
        <f t="shared" si="0"/>
        <v>0</v>
      </c>
    </row>
    <row r="19" spans="1:5" ht="12.75">
      <c r="A19" s="87">
        <v>7</v>
      </c>
      <c r="B19" s="5" t="s">
        <v>232</v>
      </c>
      <c r="C19" s="125">
        <f>11010.57+11603.59</f>
        <v>22614.16</v>
      </c>
      <c r="D19" s="125">
        <f>12681.99+11603.59</f>
        <v>24285.58</v>
      </c>
      <c r="E19" s="128">
        <f t="shared" si="0"/>
        <v>1671.420000000002</v>
      </c>
    </row>
    <row r="20" spans="1:5" ht="12.75">
      <c r="A20" s="84">
        <v>8</v>
      </c>
      <c r="B20" s="5" t="s">
        <v>29</v>
      </c>
      <c r="C20" s="10">
        <f>3500+3600+720</f>
        <v>7820</v>
      </c>
      <c r="D20" s="98">
        <f>4200+3300+720</f>
        <v>8220</v>
      </c>
      <c r="E20" s="57">
        <f t="shared" si="0"/>
        <v>400</v>
      </c>
    </row>
    <row r="21" spans="1:5" ht="13.5" thickBot="1">
      <c r="A21" s="250"/>
      <c r="B21" s="251"/>
      <c r="C21" s="118">
        <f>SUM(C13:C20)</f>
        <v>514092.70999999996</v>
      </c>
      <c r="D21" s="118">
        <f>SUM(D13:D20)</f>
        <v>571155.91</v>
      </c>
      <c r="E21" s="137">
        <f>SUM(E13:E20)</f>
        <v>57063.200000000055</v>
      </c>
    </row>
    <row r="22" spans="1:5" ht="12.75">
      <c r="A22" s="385" t="s">
        <v>793</v>
      </c>
      <c r="B22" s="386"/>
      <c r="C22" s="386"/>
      <c r="D22" s="386"/>
      <c r="E22" s="108">
        <f>E130</f>
        <v>98126.24000000005</v>
      </c>
    </row>
    <row r="23" spans="1:5" ht="12.75">
      <c r="A23" s="387" t="s">
        <v>794</v>
      </c>
      <c r="B23" s="384"/>
      <c r="C23" s="384"/>
      <c r="D23" s="384"/>
      <c r="E23" s="22">
        <v>239361.41</v>
      </c>
    </row>
    <row r="24" spans="1:2" ht="12.75">
      <c r="A24" s="37"/>
      <c r="B24" s="3" t="s">
        <v>217</v>
      </c>
    </row>
    <row r="25" spans="1:2" ht="13.5" thickBot="1">
      <c r="A25" s="37"/>
      <c r="B25" s="30" t="s">
        <v>964</v>
      </c>
    </row>
    <row r="26" spans="1:5" ht="12.75">
      <c r="A26" s="86">
        <v>1</v>
      </c>
      <c r="B26" s="64" t="s">
        <v>1095</v>
      </c>
      <c r="C26" s="80">
        <f>C62</f>
        <v>184914.35</v>
      </c>
      <c r="E26" s="29"/>
    </row>
    <row r="27" spans="1:5" ht="12.75">
      <c r="A27" s="91">
        <v>2</v>
      </c>
      <c r="B27" s="25" t="s">
        <v>344</v>
      </c>
      <c r="C27" s="102">
        <f>C71</f>
        <v>10112.97</v>
      </c>
      <c r="D27" s="388"/>
      <c r="E27" s="389"/>
    </row>
    <row r="28" spans="1:5" ht="12.75">
      <c r="A28" s="84">
        <v>3</v>
      </c>
      <c r="B28" s="9" t="s">
        <v>649</v>
      </c>
      <c r="C28" s="48">
        <v>1479.23</v>
      </c>
      <c r="E28" s="29"/>
    </row>
    <row r="29" spans="1:5" ht="12.75">
      <c r="A29" s="84">
        <v>4</v>
      </c>
      <c r="B29" s="9" t="s">
        <v>122</v>
      </c>
      <c r="C29" s="48">
        <f>(C8*0.55*12)</f>
        <v>15598.440000000002</v>
      </c>
      <c r="E29" s="29"/>
    </row>
    <row r="30" spans="1:5" ht="12.75">
      <c r="A30" s="84">
        <v>5</v>
      </c>
      <c r="B30" s="9" t="s">
        <v>658</v>
      </c>
      <c r="C30" s="79">
        <v>37536.72</v>
      </c>
      <c r="E30" s="29"/>
    </row>
    <row r="31" spans="1:5" ht="12.75">
      <c r="A31" s="91">
        <v>6</v>
      </c>
      <c r="B31" s="25" t="s">
        <v>61</v>
      </c>
      <c r="C31" s="203">
        <v>2400</v>
      </c>
      <c r="E31" s="29"/>
    </row>
    <row r="32" spans="1:5" ht="12.75">
      <c r="A32" s="91">
        <v>7</v>
      </c>
      <c r="B32" s="25" t="s">
        <v>1006</v>
      </c>
      <c r="C32" s="203">
        <v>20081.84</v>
      </c>
      <c r="E32" s="29"/>
    </row>
    <row r="33" spans="1:5" ht="12.75">
      <c r="A33" s="91">
        <v>8</v>
      </c>
      <c r="B33" s="346" t="s">
        <v>26</v>
      </c>
      <c r="C33" s="96">
        <v>600</v>
      </c>
      <c r="E33" s="29"/>
    </row>
    <row r="34" spans="1:5" ht="25.5">
      <c r="A34" s="91">
        <v>9</v>
      </c>
      <c r="B34" s="25" t="s">
        <v>60</v>
      </c>
      <c r="C34" s="96">
        <v>-2300</v>
      </c>
      <c r="E34" s="29"/>
    </row>
    <row r="35" spans="1:3" ht="12.75">
      <c r="A35" s="50"/>
      <c r="B35" s="20" t="s">
        <v>629</v>
      </c>
      <c r="C35" s="51">
        <f>SUM(C26:C34)</f>
        <v>270423.55000000005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(C21)*15%</f>
        <v>77113.9065</v>
      </c>
    </row>
    <row r="38" spans="1:3" ht="12.75">
      <c r="A38" s="84">
        <v>2</v>
      </c>
      <c r="B38" s="9" t="s">
        <v>813</v>
      </c>
      <c r="C38" s="48">
        <f>C77</f>
        <v>5118.783608149173</v>
      </c>
    </row>
    <row r="39" spans="1:3" ht="12.75">
      <c r="A39" s="84">
        <v>3</v>
      </c>
      <c r="B39" s="9" t="s">
        <v>653</v>
      </c>
      <c r="C39" s="48">
        <f>C78</f>
        <v>5559.757468296841</v>
      </c>
    </row>
    <row r="40" spans="1:3" ht="12.75">
      <c r="A40" s="84">
        <v>4</v>
      </c>
      <c r="B40" s="9" t="s">
        <v>1114</v>
      </c>
      <c r="C40" s="52">
        <f>C79</f>
        <v>11286.529952914274</v>
      </c>
    </row>
    <row r="41" spans="1:3" ht="12.75">
      <c r="A41" s="84">
        <v>5</v>
      </c>
      <c r="B41" s="9" t="s">
        <v>162</v>
      </c>
      <c r="C41" s="52">
        <f>C80</f>
        <v>8639.82743818444</v>
      </c>
    </row>
    <row r="42" spans="1:3" ht="12.75">
      <c r="A42" s="84">
        <v>6</v>
      </c>
      <c r="B42" s="9" t="s">
        <v>1051</v>
      </c>
      <c r="C42" s="48">
        <f>C81+C83+C84+C85+C82</f>
        <v>14661.750637038791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122380.55560458351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C21*2%</f>
        <v>10281.8542</v>
      </c>
    </row>
    <row r="50" spans="1:3" ht="12.75">
      <c r="A50" s="84">
        <v>2</v>
      </c>
      <c r="B50" s="9" t="s">
        <v>391</v>
      </c>
      <c r="C50" s="48">
        <f>C51</f>
        <v>30228.651347999996</v>
      </c>
    </row>
    <row r="51" spans="1:4" ht="12.75">
      <c r="A51" s="49"/>
      <c r="B51" s="5" t="s">
        <v>334</v>
      </c>
      <c r="C51" s="41">
        <f>(C21-C49)*6%</f>
        <v>30228.651347999996</v>
      </c>
      <c r="D51" s="19"/>
    </row>
    <row r="52" spans="1:3" ht="13.5" thickBot="1">
      <c r="A52" s="54"/>
      <c r="B52" s="55" t="s">
        <v>967</v>
      </c>
      <c r="C52" s="56">
        <f>C49+C50</f>
        <v>40510.505547999994</v>
      </c>
    </row>
    <row r="53" spans="1:3" ht="12.75">
      <c r="A53" s="23"/>
      <c r="B53" s="4" t="s">
        <v>288</v>
      </c>
      <c r="C53" s="11">
        <f>C35+C47+C52</f>
        <v>433314.61115258356</v>
      </c>
    </row>
    <row r="54" spans="1:3" ht="12.75">
      <c r="A54" s="23"/>
      <c r="B54" s="77"/>
      <c r="C54" s="1"/>
    </row>
    <row r="55" spans="1:3" ht="15">
      <c r="A55" s="23"/>
      <c r="B55" s="14" t="s">
        <v>812</v>
      </c>
      <c r="C55" s="11">
        <v>180423.43</v>
      </c>
    </row>
    <row r="56" spans="1:3" ht="15">
      <c r="A56" s="23"/>
      <c r="B56" s="14" t="s">
        <v>180</v>
      </c>
      <c r="C56" s="11">
        <f>C53+C55-C21</f>
        <v>99645.33115258359</v>
      </c>
    </row>
    <row r="57" ht="12.75">
      <c r="B57" s="1" t="s">
        <v>85</v>
      </c>
    </row>
    <row r="58" ht="16.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161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C8+C9</f>
        <v>2476</v>
      </c>
      <c r="E61" t="s">
        <v>116</v>
      </c>
    </row>
    <row r="62" spans="1:5" ht="12.75">
      <c r="A62" s="60" t="s">
        <v>218</v>
      </c>
      <c r="B62" s="39" t="s">
        <v>797</v>
      </c>
      <c r="C62" s="47">
        <v>184914.35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9490.15</v>
      </c>
      <c r="D64" s="15"/>
      <c r="E64" s="15"/>
    </row>
    <row r="65" spans="1:5" ht="12.75">
      <c r="A65" s="62" t="s">
        <v>166</v>
      </c>
      <c r="B65" s="6" t="s">
        <v>341</v>
      </c>
      <c r="C65" s="41">
        <v>9301.65</v>
      </c>
      <c r="D65" s="15"/>
      <c r="E65" s="15"/>
    </row>
    <row r="66" spans="1:5" ht="12.75">
      <c r="A66" s="62" t="s">
        <v>166</v>
      </c>
      <c r="B66" s="6" t="s">
        <v>258</v>
      </c>
      <c r="C66" s="41">
        <v>16776.1</v>
      </c>
      <c r="D66" s="15"/>
      <c r="E66" s="15"/>
    </row>
    <row r="67" spans="1:5" ht="12.75">
      <c r="A67" s="62" t="s">
        <v>166</v>
      </c>
      <c r="B67" s="6" t="s">
        <v>260</v>
      </c>
      <c r="C67" s="41">
        <v>1800</v>
      </c>
      <c r="D67" s="15"/>
      <c r="E67" s="15"/>
    </row>
    <row r="68" spans="1:5" ht="12.75">
      <c r="A68" s="62" t="s">
        <v>166</v>
      </c>
      <c r="B68" s="6" t="s">
        <v>974</v>
      </c>
      <c r="C68" s="41">
        <v>1000</v>
      </c>
      <c r="D68" s="15"/>
      <c r="E68" s="15"/>
    </row>
    <row r="69" spans="1:5" ht="12.75">
      <c r="A69" s="62" t="s">
        <v>166</v>
      </c>
      <c r="B69" s="6" t="s">
        <v>259</v>
      </c>
      <c r="C69" s="41">
        <v>3750</v>
      </c>
      <c r="D69" s="15"/>
      <c r="E69" s="15"/>
    </row>
    <row r="70" spans="1:5" ht="13.5" thickBot="1">
      <c r="A70" s="63" t="s">
        <v>166</v>
      </c>
      <c r="B70" s="42" t="s">
        <v>818</v>
      </c>
      <c r="C70" s="46">
        <v>3499.89</v>
      </c>
      <c r="D70" s="15"/>
      <c r="E70" s="15"/>
    </row>
    <row r="71" spans="1:5" ht="12.75">
      <c r="A71" s="60" t="s">
        <v>328</v>
      </c>
      <c r="B71" s="39" t="s">
        <v>343</v>
      </c>
      <c r="C71" s="47">
        <v>10112.97</v>
      </c>
      <c r="D71" s="15"/>
      <c r="E71" s="12"/>
    </row>
    <row r="72" spans="1:5" ht="12.75">
      <c r="A72" s="61"/>
      <c r="B72" s="6" t="s">
        <v>118</v>
      </c>
      <c r="C72" s="41"/>
      <c r="D72" s="15"/>
      <c r="E72" s="12"/>
    </row>
    <row r="73" spans="1:5" ht="12.75">
      <c r="A73" s="62" t="s">
        <v>166</v>
      </c>
      <c r="B73" s="6" t="s">
        <v>380</v>
      </c>
      <c r="C73" s="41">
        <v>304</v>
      </c>
      <c r="D73" s="15"/>
      <c r="E73" s="12"/>
    </row>
    <row r="74" spans="1:5" ht="13.5" thickBot="1">
      <c r="A74" s="63" t="s">
        <v>166</v>
      </c>
      <c r="B74" s="42" t="s">
        <v>818</v>
      </c>
      <c r="C74" s="46">
        <v>135.14</v>
      </c>
      <c r="D74" s="15"/>
      <c r="E74" s="15"/>
    </row>
    <row r="75" spans="1:5" ht="12.75">
      <c r="A75" s="300" t="s">
        <v>787</v>
      </c>
      <c r="B75" s="97" t="s">
        <v>1050</v>
      </c>
      <c r="C75" s="82">
        <f>C76+C77+C79+C78+C80+C81+C83+C84+C85+C82</f>
        <v>122380.55560458354</v>
      </c>
      <c r="D75" s="15"/>
      <c r="E75" s="12"/>
    </row>
    <row r="76" spans="1:5" ht="13.5" thickBot="1">
      <c r="A76" s="40" t="s">
        <v>166</v>
      </c>
      <c r="B76" s="6" t="s">
        <v>227</v>
      </c>
      <c r="C76" s="41">
        <f>C37</f>
        <v>77113.9065</v>
      </c>
      <c r="D76" s="15"/>
      <c r="E76" s="12"/>
    </row>
    <row r="77" spans="1:5" ht="12.75">
      <c r="A77" s="40" t="s">
        <v>166</v>
      </c>
      <c r="B77" s="6" t="s">
        <v>370</v>
      </c>
      <c r="C77" s="317">
        <f>401410.25/185335.63*C8</f>
        <v>5118.783608149173</v>
      </c>
      <c r="D77" s="375" t="s">
        <v>248</v>
      </c>
      <c r="E77" s="376"/>
    </row>
    <row r="78" spans="1:5" ht="12.75">
      <c r="A78" s="73" t="s">
        <v>166</v>
      </c>
      <c r="B78" s="74" t="s">
        <v>397</v>
      </c>
      <c r="C78" s="317">
        <f>435991.01/185335.63*C8</f>
        <v>5559.757468296841</v>
      </c>
      <c r="D78" s="377" t="s">
        <v>249</v>
      </c>
      <c r="E78" s="378"/>
    </row>
    <row r="79" spans="1:5" ht="12.75">
      <c r="A79" s="71" t="s">
        <v>166</v>
      </c>
      <c r="B79" s="72" t="s">
        <v>416</v>
      </c>
      <c r="C79" s="317">
        <f>1082167/226605.83*C8</f>
        <v>11286.529952914274</v>
      </c>
      <c r="D79" s="379" t="s">
        <v>250</v>
      </c>
      <c r="E79" s="380"/>
    </row>
    <row r="80" spans="1:5" ht="25.5">
      <c r="A80" s="73" t="s">
        <v>166</v>
      </c>
      <c r="B80" s="72" t="s">
        <v>231</v>
      </c>
      <c r="C80" s="318">
        <f>845684.35/242356.05*D61</f>
        <v>8639.82743818444</v>
      </c>
      <c r="D80" s="381" t="s">
        <v>251</v>
      </c>
      <c r="E80" s="382"/>
    </row>
    <row r="81" spans="1:5" ht="12.75">
      <c r="A81" s="73" t="s">
        <v>166</v>
      </c>
      <c r="B81" s="74" t="s">
        <v>808</v>
      </c>
      <c r="C81" s="318">
        <f>642562.44/242356.05*D61</f>
        <v>6564.658078228292</v>
      </c>
      <c r="D81" s="371" t="s">
        <v>252</v>
      </c>
      <c r="E81" s="372"/>
    </row>
    <row r="82" spans="1:5" ht="12.75">
      <c r="A82" s="73" t="s">
        <v>166</v>
      </c>
      <c r="B82" s="74" t="s">
        <v>826</v>
      </c>
      <c r="C82" s="318">
        <f>51615/196822.43*D61</f>
        <v>649.3098372985233</v>
      </c>
      <c r="D82" s="371" t="s">
        <v>253</v>
      </c>
      <c r="E82" s="372"/>
    </row>
    <row r="83" spans="1:5" ht="12.75">
      <c r="A83" s="73" t="s">
        <v>166</v>
      </c>
      <c r="B83" s="74" t="s">
        <v>655</v>
      </c>
      <c r="C83" s="318">
        <f>129011.28/196822.43*D61</f>
        <v>1622.9447491325047</v>
      </c>
      <c r="D83" s="371" t="s">
        <v>254</v>
      </c>
      <c r="E83" s="372"/>
    </row>
    <row r="84" spans="1:5" ht="12.75">
      <c r="A84" s="73" t="s">
        <v>166</v>
      </c>
      <c r="B84" s="74" t="s">
        <v>656</v>
      </c>
      <c r="C84" s="318">
        <f>164128/196822.43*D61</f>
        <v>2064.708417633092</v>
      </c>
      <c r="D84" s="373" t="s">
        <v>255</v>
      </c>
      <c r="E84" s="374"/>
    </row>
    <row r="85" spans="1:5" ht="13.5" thickBot="1">
      <c r="A85" s="75" t="s">
        <v>166</v>
      </c>
      <c r="B85" s="76" t="s">
        <v>809</v>
      </c>
      <c r="C85" s="319">
        <f>298900.58/196822.43*D61</f>
        <v>3760.1295547463774</v>
      </c>
      <c r="D85" s="369" t="s">
        <v>256</v>
      </c>
      <c r="E85" s="370"/>
    </row>
    <row r="86" ht="13.5" thickBot="1"/>
    <row r="87" spans="2:5" ht="26.25" thickBot="1">
      <c r="B87" s="143"/>
      <c r="C87" s="205" t="s">
        <v>104</v>
      </c>
      <c r="D87" s="236" t="s">
        <v>306</v>
      </c>
      <c r="E87" s="130" t="s">
        <v>305</v>
      </c>
    </row>
    <row r="88" spans="2:5" ht="13.5" thickBot="1">
      <c r="B88" s="363" t="s">
        <v>224</v>
      </c>
      <c r="C88" s="364"/>
      <c r="D88" s="364"/>
      <c r="E88" s="365"/>
    </row>
    <row r="89" spans="2:5" ht="12.75">
      <c r="B89" s="140" t="s">
        <v>285</v>
      </c>
      <c r="C89" s="234">
        <v>170613.18</v>
      </c>
      <c r="D89" s="218">
        <v>187219.36</v>
      </c>
      <c r="E89" s="44">
        <f>D89-C89</f>
        <v>16606.179999999993</v>
      </c>
    </row>
    <row r="90" spans="2:5" ht="12.75">
      <c r="B90" s="115" t="s">
        <v>637</v>
      </c>
      <c r="C90" s="10">
        <v>92692.98</v>
      </c>
      <c r="D90" s="99">
        <v>101551.71</v>
      </c>
      <c r="E90" s="45">
        <f>D90-C90</f>
        <v>8858.73000000001</v>
      </c>
    </row>
    <row r="91" spans="2:5" ht="12.75">
      <c r="B91" s="115" t="s">
        <v>232</v>
      </c>
      <c r="C91" s="10">
        <v>5297.13</v>
      </c>
      <c r="D91" s="99">
        <v>8828.55</v>
      </c>
      <c r="E91" s="45">
        <f>D91-C91</f>
        <v>3531.419999999999</v>
      </c>
    </row>
    <row r="92" spans="2:5" ht="13.5" thickBot="1">
      <c r="B92" s="157" t="s">
        <v>233</v>
      </c>
      <c r="C92" s="247">
        <v>10000</v>
      </c>
      <c r="D92" s="226">
        <v>10000</v>
      </c>
      <c r="E92" s="46">
        <f>D92-C92</f>
        <v>0</v>
      </c>
    </row>
    <row r="93" spans="2:5" ht="13.5" thickBot="1">
      <c r="B93" s="120"/>
      <c r="C93" s="257">
        <f>SUM(C89:C92)</f>
        <v>278603.29</v>
      </c>
      <c r="D93" s="257">
        <f>SUM(D89:D92)</f>
        <v>307599.62</v>
      </c>
      <c r="E93" s="210">
        <f>SUM(E89:E92)</f>
        <v>28996.33</v>
      </c>
    </row>
    <row r="94" spans="2:5" ht="13.5" thickBot="1">
      <c r="B94" s="363" t="s">
        <v>303</v>
      </c>
      <c r="C94" s="364"/>
      <c r="D94" s="364"/>
      <c r="E94" s="365"/>
    </row>
    <row r="95" spans="2:5" ht="12.75">
      <c r="B95" s="140" t="s">
        <v>285</v>
      </c>
      <c r="C95" s="234">
        <v>227859.66</v>
      </c>
      <c r="D95" s="218">
        <v>246822.48</v>
      </c>
      <c r="E95" s="44">
        <f>D95-C95</f>
        <v>18962.820000000007</v>
      </c>
    </row>
    <row r="96" spans="2:5" ht="12.75">
      <c r="B96" s="115" t="s">
        <v>637</v>
      </c>
      <c r="C96" s="10">
        <v>111498.52</v>
      </c>
      <c r="D96" s="99">
        <v>120006.79</v>
      </c>
      <c r="E96" s="45">
        <f>D96-C96</f>
        <v>8508.26999999999</v>
      </c>
    </row>
    <row r="97" spans="2:5" ht="12.75">
      <c r="B97" s="115" t="s">
        <v>232</v>
      </c>
      <c r="C97" s="125">
        <v>17149.74</v>
      </c>
      <c r="D97" s="125">
        <v>17470.92</v>
      </c>
      <c r="E97" s="45">
        <f>D97-C97</f>
        <v>321.17999999999665</v>
      </c>
    </row>
    <row r="98" spans="2:5" ht="26.25" thickBot="1">
      <c r="B98" s="156" t="s">
        <v>119</v>
      </c>
      <c r="C98" s="142">
        <v>7050</v>
      </c>
      <c r="D98" s="142">
        <v>7050</v>
      </c>
      <c r="E98" s="246">
        <f>D98-C98</f>
        <v>0</v>
      </c>
    </row>
    <row r="99" spans="2:5" ht="13.5" thickBot="1">
      <c r="B99" s="187"/>
      <c r="C99" s="254">
        <f>SUM(C95:C98)</f>
        <v>363557.92</v>
      </c>
      <c r="D99" s="255">
        <f>SUM(D95:D98)</f>
        <v>391350.19</v>
      </c>
      <c r="E99" s="256">
        <f>SUM(E95:E98)</f>
        <v>27792.269999999993</v>
      </c>
    </row>
    <row r="100" spans="2:5" ht="13.5" thickBot="1">
      <c r="B100" s="363" t="s">
        <v>409</v>
      </c>
      <c r="C100" s="364"/>
      <c r="D100" s="364"/>
      <c r="E100" s="365"/>
    </row>
    <row r="101" spans="2:5" ht="12.75">
      <c r="B101" s="140" t="s">
        <v>285</v>
      </c>
      <c r="C101" s="234">
        <v>242065.26</v>
      </c>
      <c r="D101" s="218">
        <v>246822.48</v>
      </c>
      <c r="E101" s="253">
        <f aca="true" t="shared" si="1" ref="E101:E106">D101-C101</f>
        <v>4757.220000000001</v>
      </c>
    </row>
    <row r="102" spans="2:5" ht="12.75">
      <c r="B102" s="115" t="s">
        <v>637</v>
      </c>
      <c r="C102" s="10">
        <v>117628.11</v>
      </c>
      <c r="D102" s="99">
        <v>120006.79</v>
      </c>
      <c r="E102" s="53">
        <f t="shared" si="1"/>
        <v>2378.679999999993</v>
      </c>
    </row>
    <row r="103" spans="2:5" ht="12.75">
      <c r="B103" s="115" t="s">
        <v>633</v>
      </c>
      <c r="C103" s="125">
        <v>11793.66</v>
      </c>
      <c r="D103" s="125">
        <v>15441.3</v>
      </c>
      <c r="E103" s="81">
        <f t="shared" si="1"/>
        <v>3647.6399999999994</v>
      </c>
    </row>
    <row r="104" spans="2:5" ht="12.75">
      <c r="B104" s="115" t="s">
        <v>232</v>
      </c>
      <c r="C104" s="125">
        <v>21657.05</v>
      </c>
      <c r="D104" s="125">
        <v>22322.85</v>
      </c>
      <c r="E104" s="81">
        <f t="shared" si="1"/>
        <v>665.7999999999993</v>
      </c>
    </row>
    <row r="105" spans="2:5" ht="12.75">
      <c r="B105" s="115" t="s">
        <v>163</v>
      </c>
      <c r="C105" s="125">
        <v>85116.38</v>
      </c>
      <c r="D105" s="125">
        <v>96011.23</v>
      </c>
      <c r="E105" s="81">
        <f t="shared" si="1"/>
        <v>10894.849999999991</v>
      </c>
    </row>
    <row r="106" spans="2:5" ht="25.5">
      <c r="B106" s="220" t="s">
        <v>119</v>
      </c>
      <c r="C106" s="125">
        <v>4200</v>
      </c>
      <c r="D106" s="125">
        <v>4200</v>
      </c>
      <c r="E106" s="81">
        <f t="shared" si="1"/>
        <v>0</v>
      </c>
    </row>
    <row r="107" spans="2:5" ht="13.5" thickBot="1">
      <c r="B107" s="157" t="s">
        <v>1200</v>
      </c>
      <c r="C107" s="142">
        <v>7925.04</v>
      </c>
      <c r="D107" s="142">
        <v>7925.04</v>
      </c>
      <c r="E107" s="85">
        <v>0</v>
      </c>
    </row>
    <row r="108" spans="2:5" ht="13.5" thickBot="1">
      <c r="B108" s="324"/>
      <c r="C108" s="119">
        <f>SUM(C101:C107)</f>
        <v>490385.49999999994</v>
      </c>
      <c r="D108" s="119">
        <f>SUM(D101:D107)</f>
        <v>512729.68999999994</v>
      </c>
      <c r="E108" s="119">
        <f>SUM(E101:E107)</f>
        <v>22344.189999999984</v>
      </c>
    </row>
    <row r="109" spans="2:5" ht="13.5" thickBot="1">
      <c r="B109" s="363" t="s">
        <v>976</v>
      </c>
      <c r="C109" s="364"/>
      <c r="D109" s="364"/>
      <c r="E109" s="365"/>
    </row>
    <row r="110" spans="2:5" ht="12.75">
      <c r="B110" s="140" t="s">
        <v>285</v>
      </c>
      <c r="C110" s="141">
        <v>295952.43</v>
      </c>
      <c r="D110" s="155">
        <v>278881.68</v>
      </c>
      <c r="E110" s="253">
        <f aca="true" t="shared" si="2" ref="E110:E117">D110-C110</f>
        <v>-17070.75</v>
      </c>
    </row>
    <row r="111" spans="2:5" ht="12.75">
      <c r="B111" s="115" t="s">
        <v>637</v>
      </c>
      <c r="C111" s="5">
        <v>138753.77</v>
      </c>
      <c r="D111" s="33">
        <v>130613.8</v>
      </c>
      <c r="E111" s="53">
        <f t="shared" si="2"/>
        <v>-8139.969999999987</v>
      </c>
    </row>
    <row r="112" spans="2:5" ht="12.75">
      <c r="B112" s="115" t="s">
        <v>633</v>
      </c>
      <c r="C112" s="65">
        <v>40034.1</v>
      </c>
      <c r="D112" s="70">
        <v>39286.52</v>
      </c>
      <c r="E112" s="81">
        <f t="shared" si="2"/>
        <v>-747.5800000000017</v>
      </c>
    </row>
    <row r="113" spans="2:5" ht="12.75">
      <c r="B113" s="278" t="s">
        <v>792</v>
      </c>
      <c r="C113" s="122">
        <v>4050</v>
      </c>
      <c r="D113" s="122">
        <v>4350</v>
      </c>
      <c r="E113" s="81">
        <f t="shared" si="2"/>
        <v>300</v>
      </c>
    </row>
    <row r="114" spans="2:5" ht="12.75">
      <c r="B114" s="115" t="s">
        <v>232</v>
      </c>
      <c r="C114" s="125">
        <v>22371.99</v>
      </c>
      <c r="D114" s="125">
        <v>20477.46</v>
      </c>
      <c r="E114" s="81">
        <f t="shared" si="2"/>
        <v>-1894.5300000000025</v>
      </c>
    </row>
    <row r="115" spans="2:5" ht="12.75">
      <c r="B115" s="278" t="s">
        <v>364</v>
      </c>
      <c r="C115" s="122">
        <v>8287.94</v>
      </c>
      <c r="D115" s="122">
        <v>7943.6</v>
      </c>
      <c r="E115" s="81">
        <f t="shared" si="2"/>
        <v>-344.34000000000015</v>
      </c>
    </row>
    <row r="116" spans="2:5" ht="12.75">
      <c r="B116" s="115" t="s">
        <v>445</v>
      </c>
      <c r="C116" s="122">
        <v>15169.06</v>
      </c>
      <c r="D116" s="122">
        <v>4996.48</v>
      </c>
      <c r="E116" s="81">
        <f t="shared" si="2"/>
        <v>-10172.58</v>
      </c>
    </row>
    <row r="117" spans="2:5" ht="13.5" thickBot="1">
      <c r="B117" s="157" t="s">
        <v>1200</v>
      </c>
      <c r="C117" s="229">
        <v>7816.69</v>
      </c>
      <c r="D117" s="229">
        <v>7816.69</v>
      </c>
      <c r="E117" s="85">
        <f t="shared" si="2"/>
        <v>0</v>
      </c>
    </row>
    <row r="118" spans="2:5" ht="13.5" thickBot="1">
      <c r="B118" s="324"/>
      <c r="C118" s="119">
        <f>SUM(C110:C117)</f>
        <v>532435.9799999999</v>
      </c>
      <c r="D118" s="119">
        <f>SUM(D110:D117)</f>
        <v>494366.23</v>
      </c>
      <c r="E118" s="119">
        <f>SUM(E110:E117)</f>
        <v>-38069.74999999999</v>
      </c>
    </row>
    <row r="119" spans="2:5" ht="13.5" thickBot="1">
      <c r="B119" s="363" t="s">
        <v>87</v>
      </c>
      <c r="C119" s="364"/>
      <c r="D119" s="364"/>
      <c r="E119" s="365"/>
    </row>
    <row r="120" spans="2:5" ht="12.75">
      <c r="B120" s="140" t="s">
        <v>285</v>
      </c>
      <c r="C120" s="234">
        <v>263070.97</v>
      </c>
      <c r="D120" s="218">
        <v>292416.08</v>
      </c>
      <c r="E120" s="253">
        <f aca="true" t="shared" si="3" ref="E120:E127">D120-C120</f>
        <v>29345.110000000044</v>
      </c>
    </row>
    <row r="121" spans="2:5" ht="12.75">
      <c r="B121" s="115" t="s">
        <v>637</v>
      </c>
      <c r="C121" s="10">
        <f>128611.02+965.19</f>
        <v>129576.21</v>
      </c>
      <c r="D121" s="98">
        <f>143695.75+242.95</f>
        <v>143938.7</v>
      </c>
      <c r="E121" s="53">
        <f t="shared" si="3"/>
        <v>14362.490000000005</v>
      </c>
    </row>
    <row r="122" spans="2:5" ht="12.75">
      <c r="B122" s="115" t="s">
        <v>364</v>
      </c>
      <c r="C122" s="10">
        <v>26027.99</v>
      </c>
      <c r="D122" s="98">
        <v>30924.15</v>
      </c>
      <c r="E122" s="81">
        <f t="shared" si="3"/>
        <v>4896.16</v>
      </c>
    </row>
    <row r="123" spans="2:5" ht="12.75">
      <c r="B123" s="115" t="s">
        <v>633</v>
      </c>
      <c r="C123" s="10">
        <v>39790.12</v>
      </c>
      <c r="D123" s="98">
        <v>45140.74</v>
      </c>
      <c r="E123" s="81">
        <f t="shared" si="3"/>
        <v>5350.619999999995</v>
      </c>
    </row>
    <row r="124" spans="2:5" ht="12.75">
      <c r="B124" s="115" t="s">
        <v>234</v>
      </c>
      <c r="C124" s="10">
        <v>19838.26</v>
      </c>
      <c r="D124" s="98">
        <v>20875.66</v>
      </c>
      <c r="E124" s="81">
        <f t="shared" si="3"/>
        <v>1037.4000000000015</v>
      </c>
    </row>
    <row r="125" spans="2:5" ht="12.75">
      <c r="B125" s="115" t="s">
        <v>257</v>
      </c>
      <c r="C125" s="10">
        <v>5355</v>
      </c>
      <c r="D125" s="98">
        <v>5355</v>
      </c>
      <c r="E125" s="81">
        <f t="shared" si="3"/>
        <v>0</v>
      </c>
    </row>
    <row r="126" spans="2:5" ht="12.75">
      <c r="B126" s="115" t="s">
        <v>232</v>
      </c>
      <c r="C126" s="125">
        <f>11010.57+11603.59</f>
        <v>22614.16</v>
      </c>
      <c r="D126" s="125">
        <f>12681.99+11603.59</f>
        <v>24285.58</v>
      </c>
      <c r="E126" s="81">
        <f t="shared" si="3"/>
        <v>1671.420000000002</v>
      </c>
    </row>
    <row r="127" spans="2:5" ht="13.5" thickBot="1">
      <c r="B127" s="157" t="s">
        <v>29</v>
      </c>
      <c r="C127" s="225">
        <f>3500+3600+720</f>
        <v>7820</v>
      </c>
      <c r="D127" s="227">
        <f>4200+3300+720</f>
        <v>8220</v>
      </c>
      <c r="E127" s="85">
        <f t="shared" si="3"/>
        <v>400</v>
      </c>
    </row>
    <row r="128" spans="2:5" ht="13.5" thickBot="1">
      <c r="B128" s="324"/>
      <c r="C128" s="119">
        <f>SUM(C120:C127)</f>
        <v>514092.70999999996</v>
      </c>
      <c r="D128" s="119">
        <f>SUM(D120:D127)</f>
        <v>571155.91</v>
      </c>
      <c r="E128" s="119">
        <f>SUM(E120:E127)</f>
        <v>57063.200000000055</v>
      </c>
    </row>
    <row r="129" spans="2:5" ht="13.5" thickBot="1">
      <c r="B129" s="366" t="s">
        <v>379</v>
      </c>
      <c r="C129" s="367"/>
      <c r="D129" s="367"/>
      <c r="E129" s="368"/>
    </row>
    <row r="130" spans="2:5" ht="13.5" thickBot="1">
      <c r="B130" s="153"/>
      <c r="C130" s="117">
        <f>C93+C99+C108+C118+C128</f>
        <v>2179075.4</v>
      </c>
      <c r="D130" s="117">
        <f>D93+D99+D108+D118+D128</f>
        <v>2277201.64</v>
      </c>
      <c r="E130" s="117">
        <f>E93+E99+E108+E118+E128</f>
        <v>98126.24000000005</v>
      </c>
    </row>
  </sheetData>
  <sheetProtection/>
  <mergeCells count="23">
    <mergeCell ref="A6:E6"/>
    <mergeCell ref="A22:D22"/>
    <mergeCell ref="A23:D23"/>
    <mergeCell ref="D27:E27"/>
    <mergeCell ref="A2:B2"/>
    <mergeCell ref="C2:E2"/>
    <mergeCell ref="C3:E3"/>
    <mergeCell ref="B4:E4"/>
    <mergeCell ref="D81:E81"/>
    <mergeCell ref="D82:E82"/>
    <mergeCell ref="D83:E83"/>
    <mergeCell ref="D84:E84"/>
    <mergeCell ref="D77:E77"/>
    <mergeCell ref="D78:E78"/>
    <mergeCell ref="D79:E79"/>
    <mergeCell ref="D80:E80"/>
    <mergeCell ref="B109:E109"/>
    <mergeCell ref="B129:E129"/>
    <mergeCell ref="B119:E119"/>
    <mergeCell ref="D85:E85"/>
    <mergeCell ref="B88:E88"/>
    <mergeCell ref="B94:E94"/>
    <mergeCell ref="B100:E10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2"/>
  <sheetViews>
    <sheetView zoomScalePageLayoutView="0" workbookViewId="0" topLeftCell="A51">
      <selection activeCell="C63" sqref="C63"/>
    </sheetView>
  </sheetViews>
  <sheetFormatPr defaultColWidth="9.00390625" defaultRowHeight="12.75"/>
  <cols>
    <col min="1" max="1" width="3.125" style="0" customWidth="1"/>
    <col min="2" max="2" width="57.125" style="0" customWidth="1"/>
    <col min="3" max="3" width="10.25390625" style="0" customWidth="1"/>
    <col min="4" max="4" width="12.37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0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819</v>
      </c>
      <c r="C7" s="26"/>
      <c r="D7" s="24"/>
    </row>
    <row r="8" spans="1:4" ht="15">
      <c r="A8" s="26"/>
      <c r="B8" s="27" t="s">
        <v>115</v>
      </c>
      <c r="C8" s="38">
        <v>5042.7</v>
      </c>
      <c r="D8" s="92" t="s">
        <v>116</v>
      </c>
    </row>
    <row r="9" spans="1:4" ht="15">
      <c r="A9" s="26"/>
      <c r="B9" s="27" t="s">
        <v>654</v>
      </c>
      <c r="C9" s="93">
        <v>116.1</v>
      </c>
      <c r="D9" s="92" t="s">
        <v>116</v>
      </c>
    </row>
    <row r="10" spans="1:4" ht="15">
      <c r="A10" s="26"/>
      <c r="B10" s="27"/>
      <c r="C10" s="38"/>
      <c r="D10" s="92"/>
    </row>
    <row r="11" spans="1:5" ht="13.5" thickBot="1">
      <c r="A11" s="23" t="s">
        <v>635</v>
      </c>
      <c r="B11" s="3" t="s">
        <v>636</v>
      </c>
      <c r="C11" s="12"/>
      <c r="D11" s="21"/>
      <c r="E11" s="31"/>
    </row>
    <row r="12" spans="1:5" ht="39" thickBot="1">
      <c r="A12" s="237"/>
      <c r="B12" s="238" t="s">
        <v>103</v>
      </c>
      <c r="C12" s="239" t="s">
        <v>104</v>
      </c>
      <c r="D12" s="240" t="s">
        <v>306</v>
      </c>
      <c r="E12" s="241" t="s">
        <v>378</v>
      </c>
    </row>
    <row r="13" spans="1:5" ht="12.75">
      <c r="A13" s="113">
        <v>1</v>
      </c>
      <c r="B13" s="141" t="s">
        <v>285</v>
      </c>
      <c r="C13" s="234">
        <v>580627.97</v>
      </c>
      <c r="D13" s="218">
        <f>607685.84+0.71</f>
        <v>607686.5499999999</v>
      </c>
      <c r="E13" s="242">
        <f aca="true" t="shared" si="0" ref="E13:E21">D13-C13</f>
        <v>27058.579999999958</v>
      </c>
    </row>
    <row r="14" spans="1:5" ht="12.75">
      <c r="A14" s="84">
        <v>2</v>
      </c>
      <c r="B14" s="5" t="s">
        <v>637</v>
      </c>
      <c r="C14" s="10">
        <v>295182.11</v>
      </c>
      <c r="D14" s="98">
        <v>309118.62</v>
      </c>
      <c r="E14" s="57">
        <f t="shared" si="0"/>
        <v>13936.51000000001</v>
      </c>
    </row>
    <row r="15" spans="1:5" ht="12.75">
      <c r="A15" s="84">
        <v>3</v>
      </c>
      <c r="B15" s="5" t="s">
        <v>364</v>
      </c>
      <c r="C15" s="10">
        <v>123278.5</v>
      </c>
      <c r="D15" s="98">
        <v>123409.33</v>
      </c>
      <c r="E15" s="57">
        <f t="shared" si="0"/>
        <v>130.83000000000175</v>
      </c>
    </row>
    <row r="16" spans="1:5" ht="12.75">
      <c r="A16" s="84">
        <v>4</v>
      </c>
      <c r="B16" s="5" t="s">
        <v>633</v>
      </c>
      <c r="C16" s="10">
        <v>74034.83</v>
      </c>
      <c r="D16" s="98">
        <v>81270.52</v>
      </c>
      <c r="E16" s="57">
        <f t="shared" si="0"/>
        <v>7235.690000000002</v>
      </c>
    </row>
    <row r="17" spans="1:5" ht="12.75">
      <c r="A17" s="84">
        <v>5</v>
      </c>
      <c r="B17" s="5" t="s">
        <v>556</v>
      </c>
      <c r="C17" s="10">
        <v>30131.29</v>
      </c>
      <c r="D17" s="98">
        <v>33663.01</v>
      </c>
      <c r="E17" s="57">
        <f t="shared" si="0"/>
        <v>3531.720000000001</v>
      </c>
    </row>
    <row r="18" spans="1:5" ht="12.75">
      <c r="A18" s="84">
        <v>6</v>
      </c>
      <c r="B18" s="5" t="s">
        <v>393</v>
      </c>
      <c r="C18" s="10">
        <v>13185.83</v>
      </c>
      <c r="D18" s="98">
        <v>18118.06</v>
      </c>
      <c r="E18" s="57">
        <f t="shared" si="0"/>
        <v>4932.230000000001</v>
      </c>
    </row>
    <row r="19" spans="1:5" ht="12.75">
      <c r="A19" s="84">
        <v>7</v>
      </c>
      <c r="B19" s="5" t="s">
        <v>1036</v>
      </c>
      <c r="C19" s="10">
        <v>35635.39</v>
      </c>
      <c r="D19" s="98">
        <v>35635.39</v>
      </c>
      <c r="E19" s="57">
        <f t="shared" si="0"/>
        <v>0</v>
      </c>
    </row>
    <row r="20" spans="1:5" ht="12.75">
      <c r="A20" s="84">
        <v>8</v>
      </c>
      <c r="B20" s="5" t="s">
        <v>232</v>
      </c>
      <c r="C20" s="125">
        <v>7291.08</v>
      </c>
      <c r="D20" s="125">
        <v>13978.47</v>
      </c>
      <c r="E20" s="128">
        <f t="shared" si="0"/>
        <v>6687.389999999999</v>
      </c>
    </row>
    <row r="21" spans="1:5" ht="12.75">
      <c r="A21" s="84">
        <v>9</v>
      </c>
      <c r="B21" s="5" t="s">
        <v>29</v>
      </c>
      <c r="C21" s="10">
        <f>3500+2400+3600</f>
        <v>9500</v>
      </c>
      <c r="D21" s="98">
        <f>4200+2400+3300</f>
        <v>9900</v>
      </c>
      <c r="E21" s="57">
        <f t="shared" si="0"/>
        <v>400</v>
      </c>
    </row>
    <row r="22" spans="1:5" ht="13.5" thickBot="1">
      <c r="A22" s="250"/>
      <c r="B22" s="251"/>
      <c r="C22" s="118">
        <f>SUM(C13:C21)</f>
        <v>1168867</v>
      </c>
      <c r="D22" s="118">
        <f>SUM(D13:D21)</f>
        <v>1232779.9499999997</v>
      </c>
      <c r="E22" s="137">
        <f>SUM(E13:E21)</f>
        <v>63912.949999999975</v>
      </c>
    </row>
    <row r="23" spans="1:5" ht="12.75">
      <c r="A23" s="385" t="s">
        <v>793</v>
      </c>
      <c r="B23" s="386"/>
      <c r="C23" s="386"/>
      <c r="D23" s="386"/>
      <c r="E23" s="108">
        <f>E132</f>
        <v>256027.13000000003</v>
      </c>
    </row>
    <row r="24" spans="1:5" ht="12.75">
      <c r="A24" s="387" t="s">
        <v>794</v>
      </c>
      <c r="B24" s="384"/>
      <c r="C24" s="384"/>
      <c r="D24" s="384"/>
      <c r="E24" s="22">
        <v>553071.81</v>
      </c>
    </row>
    <row r="25" spans="1:2" ht="12.75">
      <c r="A25" s="37"/>
      <c r="B25" s="3" t="s">
        <v>217</v>
      </c>
    </row>
    <row r="26" spans="1:2" ht="13.5" thickBot="1">
      <c r="A26" s="37"/>
      <c r="B26" s="30" t="s">
        <v>964</v>
      </c>
    </row>
    <row r="27" spans="1:5" ht="25.5">
      <c r="A27" s="86">
        <v>1</v>
      </c>
      <c r="B27" s="64" t="s">
        <v>562</v>
      </c>
      <c r="C27" s="80">
        <f>C65</f>
        <v>334772.77</v>
      </c>
      <c r="E27" s="29"/>
    </row>
    <row r="28" spans="1:5" ht="25.5">
      <c r="A28" s="91">
        <v>2</v>
      </c>
      <c r="B28" s="25" t="s">
        <v>563</v>
      </c>
      <c r="C28" s="102">
        <f>C75</f>
        <v>32146.46</v>
      </c>
      <c r="D28" s="388"/>
      <c r="E28" s="389"/>
    </row>
    <row r="29" spans="1:5" ht="12.75">
      <c r="A29" s="84">
        <v>3</v>
      </c>
      <c r="B29" s="9" t="s">
        <v>649</v>
      </c>
      <c r="C29" s="48">
        <v>6515.2</v>
      </c>
      <c r="E29" s="29"/>
    </row>
    <row r="30" spans="1:5" ht="12.75">
      <c r="A30" s="84">
        <v>4</v>
      </c>
      <c r="B30" s="9" t="s">
        <v>122</v>
      </c>
      <c r="C30" s="48">
        <f>(C8*0.55*12)</f>
        <v>33281.82</v>
      </c>
      <c r="E30" s="29"/>
    </row>
    <row r="31" spans="1:5" ht="12.75">
      <c r="A31" s="84">
        <v>5</v>
      </c>
      <c r="B31" s="9" t="s">
        <v>658</v>
      </c>
      <c r="C31" s="79">
        <v>81093.48</v>
      </c>
      <c r="E31" s="29"/>
    </row>
    <row r="32" spans="1:5" ht="12.75">
      <c r="A32" s="91">
        <v>6</v>
      </c>
      <c r="B32" s="25" t="s">
        <v>61</v>
      </c>
      <c r="C32" s="203">
        <v>2400</v>
      </c>
      <c r="E32" s="29"/>
    </row>
    <row r="33" spans="1:5" ht="12.75">
      <c r="A33" s="84">
        <v>7</v>
      </c>
      <c r="B33" s="25" t="s">
        <v>1006</v>
      </c>
      <c r="C33" s="203">
        <v>26575.17</v>
      </c>
      <c r="E33" s="29"/>
    </row>
    <row r="34" spans="1:5" ht="12.75">
      <c r="A34" s="91">
        <v>8</v>
      </c>
      <c r="B34" s="346" t="s">
        <v>559</v>
      </c>
      <c r="C34" s="96">
        <v>4995.1</v>
      </c>
      <c r="E34" s="29"/>
    </row>
    <row r="35" spans="1:5" ht="12.75">
      <c r="A35" s="84">
        <v>9</v>
      </c>
      <c r="B35" s="346" t="s">
        <v>26</v>
      </c>
      <c r="C35" s="96">
        <v>600</v>
      </c>
      <c r="E35" s="29"/>
    </row>
    <row r="36" spans="1:5" ht="25.5">
      <c r="A36" s="91">
        <v>10</v>
      </c>
      <c r="B36" s="25" t="s">
        <v>60</v>
      </c>
      <c r="C36" s="96">
        <v>-2300</v>
      </c>
      <c r="E36" s="29"/>
    </row>
    <row r="37" spans="1:3" ht="12.75">
      <c r="A37" s="50"/>
      <c r="B37" s="20" t="s">
        <v>629</v>
      </c>
      <c r="C37" s="51">
        <f>SUM(C27:C36)</f>
        <v>520080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(C22)*15%</f>
        <v>175330.05</v>
      </c>
    </row>
    <row r="40" spans="1:3" ht="12.75">
      <c r="A40" s="84">
        <v>2</v>
      </c>
      <c r="B40" s="9" t="s">
        <v>813</v>
      </c>
      <c r="C40" s="48">
        <f>C83</f>
        <v>10921.761064912343</v>
      </c>
    </row>
    <row r="41" spans="1:3" ht="12.75">
      <c r="A41" s="84">
        <v>3</v>
      </c>
      <c r="B41" s="9" t="s">
        <v>653</v>
      </c>
      <c r="C41" s="48">
        <f>C84</f>
        <v>11862.650835821476</v>
      </c>
    </row>
    <row r="42" spans="1:3" ht="12.75">
      <c r="A42" s="84">
        <v>4</v>
      </c>
      <c r="B42" s="9" t="s">
        <v>1114</v>
      </c>
      <c r="C42" s="52">
        <f>C85</f>
        <v>24081.655493594317</v>
      </c>
    </row>
    <row r="43" spans="1:3" ht="12.75">
      <c r="A43" s="84">
        <v>5</v>
      </c>
      <c r="B43" s="9" t="s">
        <v>162</v>
      </c>
      <c r="C43" s="52">
        <f>C86</f>
        <v>18001.2688966502</v>
      </c>
    </row>
    <row r="44" spans="1:3" ht="12.75">
      <c r="A44" s="84">
        <v>6</v>
      </c>
      <c r="B44" s="9" t="s">
        <v>1051</v>
      </c>
      <c r="C44" s="48">
        <f>C87+C89+C90+C91+C88</f>
        <v>30548.077215814097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270745.46350679244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C22*2%</f>
        <v>23377.34</v>
      </c>
    </row>
    <row r="52" spans="1:3" ht="12.75">
      <c r="A52" s="84">
        <v>2</v>
      </c>
      <c r="B52" s="9" t="s">
        <v>391</v>
      </c>
      <c r="C52" s="48">
        <f>C53</f>
        <v>68729.37959999999</v>
      </c>
    </row>
    <row r="53" spans="1:4" ht="12.75">
      <c r="A53" s="49"/>
      <c r="B53" s="5" t="s">
        <v>334</v>
      </c>
      <c r="C53" s="41">
        <f>(C22-C51)*6%</f>
        <v>68729.37959999999</v>
      </c>
      <c r="D53" s="19"/>
    </row>
    <row r="54" spans="1:3" ht="13.5" thickBot="1">
      <c r="A54" s="54"/>
      <c r="B54" s="55" t="s">
        <v>967</v>
      </c>
      <c r="C54" s="56">
        <f>C51+C52</f>
        <v>92106.71959999998</v>
      </c>
    </row>
    <row r="55" spans="1:3" ht="12.75">
      <c r="A55" s="23"/>
      <c r="B55" s="4" t="s">
        <v>288</v>
      </c>
      <c r="C55" s="11">
        <f>C37+C49+C54</f>
        <v>882932.1831067924</v>
      </c>
    </row>
    <row r="56" spans="1:3" ht="12.75">
      <c r="A56" s="23"/>
      <c r="B56" s="77"/>
      <c r="C56" s="1"/>
    </row>
    <row r="57" spans="1:3" ht="15">
      <c r="A57" s="23"/>
      <c r="B57" s="14" t="s">
        <v>812</v>
      </c>
      <c r="C57" s="11">
        <v>482688.19</v>
      </c>
    </row>
    <row r="58" spans="1:3" ht="15">
      <c r="A58" s="23"/>
      <c r="B58" s="14" t="s">
        <v>12</v>
      </c>
      <c r="C58" s="11">
        <v>417183.56</v>
      </c>
    </row>
    <row r="59" spans="1:3" ht="15">
      <c r="A59" s="23"/>
      <c r="B59" s="14" t="s">
        <v>94</v>
      </c>
      <c r="C59" s="11">
        <f>C22+C58-C55-C57</f>
        <v>220430.18689320766</v>
      </c>
    </row>
    <row r="60" ht="12.75">
      <c r="B60" s="1" t="s">
        <v>85</v>
      </c>
    </row>
    <row r="61" ht="18" customHeight="1">
      <c r="B61" s="1" t="s">
        <v>1197</v>
      </c>
    </row>
    <row r="62" spans="1:4" ht="12.75">
      <c r="A62" s="2"/>
      <c r="B62" s="2"/>
      <c r="C62" s="2" t="s">
        <v>790</v>
      </c>
      <c r="D62" s="2"/>
    </row>
    <row r="63" spans="1:4" ht="12.75">
      <c r="A63" s="2"/>
      <c r="B63" s="2"/>
      <c r="C63" s="2" t="s">
        <v>422</v>
      </c>
      <c r="D63" s="2"/>
    </row>
    <row r="64" spans="1:5" ht="13.5" thickBot="1">
      <c r="A64" s="37"/>
      <c r="B64" s="37" t="s">
        <v>969</v>
      </c>
      <c r="C64" s="32" t="s">
        <v>886</v>
      </c>
      <c r="D64" s="114">
        <f>C8+C9</f>
        <v>5158.8</v>
      </c>
      <c r="E64" t="s">
        <v>116</v>
      </c>
    </row>
    <row r="65" spans="1:5" ht="12.75">
      <c r="A65" s="60" t="s">
        <v>218</v>
      </c>
      <c r="B65" s="39" t="s">
        <v>797</v>
      </c>
      <c r="C65" s="47">
        <v>334772.77</v>
      </c>
      <c r="D65" s="15"/>
      <c r="E65" s="21"/>
    </row>
    <row r="66" spans="1:5" ht="12.75">
      <c r="A66" s="61"/>
      <c r="B66" s="6" t="s">
        <v>118</v>
      </c>
      <c r="C66" s="41"/>
      <c r="D66" s="15"/>
      <c r="E66" s="21"/>
    </row>
    <row r="67" spans="1:5" ht="12.75">
      <c r="A67" s="62" t="s">
        <v>166</v>
      </c>
      <c r="B67" s="6" t="s">
        <v>380</v>
      </c>
      <c r="C67" s="41">
        <v>17724.4</v>
      </c>
      <c r="D67" s="15"/>
      <c r="E67" s="15"/>
    </row>
    <row r="68" spans="1:5" ht="12.75">
      <c r="A68" s="62" t="s">
        <v>166</v>
      </c>
      <c r="B68" s="6" t="s">
        <v>974</v>
      </c>
      <c r="C68" s="41">
        <v>2000</v>
      </c>
      <c r="D68" s="15"/>
      <c r="E68" s="15"/>
    </row>
    <row r="69" spans="1:5" ht="12.75">
      <c r="A69" s="62" t="s">
        <v>166</v>
      </c>
      <c r="B69" s="6" t="s">
        <v>1076</v>
      </c>
      <c r="C69" s="41">
        <v>20588.69</v>
      </c>
      <c r="D69" s="15"/>
      <c r="E69" s="15"/>
    </row>
    <row r="70" spans="1:5" ht="12.75">
      <c r="A70" s="62" t="s">
        <v>166</v>
      </c>
      <c r="B70" s="6" t="s">
        <v>963</v>
      </c>
      <c r="C70" s="41">
        <v>57397.27</v>
      </c>
      <c r="D70" s="15"/>
      <c r="E70" s="15"/>
    </row>
    <row r="71" spans="1:5" ht="12.75">
      <c r="A71" s="62" t="s">
        <v>166</v>
      </c>
      <c r="B71" s="6" t="s">
        <v>277</v>
      </c>
      <c r="C71" s="41">
        <v>19400</v>
      </c>
      <c r="D71" s="15"/>
      <c r="E71" s="15"/>
    </row>
    <row r="72" spans="1:5" ht="12.75">
      <c r="A72" s="62" t="s">
        <v>166</v>
      </c>
      <c r="B72" s="6" t="s">
        <v>561</v>
      </c>
      <c r="C72" s="41">
        <v>2800</v>
      </c>
      <c r="D72" s="15"/>
      <c r="E72" s="15"/>
    </row>
    <row r="73" spans="1:5" ht="12.75">
      <c r="A73" s="62" t="s">
        <v>166</v>
      </c>
      <c r="B73" s="6" t="s">
        <v>557</v>
      </c>
      <c r="C73" s="41">
        <v>-71000</v>
      </c>
      <c r="D73" s="15"/>
      <c r="E73" s="15"/>
    </row>
    <row r="74" spans="1:5" ht="13.5" thickBot="1">
      <c r="A74" s="63" t="s">
        <v>166</v>
      </c>
      <c r="B74" s="42" t="s">
        <v>818</v>
      </c>
      <c r="C74" s="43">
        <v>7467.6</v>
      </c>
      <c r="D74" s="15"/>
      <c r="E74" s="15"/>
    </row>
    <row r="75" spans="1:5" ht="12.75">
      <c r="A75" s="60" t="s">
        <v>328</v>
      </c>
      <c r="B75" s="39" t="s">
        <v>343</v>
      </c>
      <c r="C75" s="47">
        <v>32146.46</v>
      </c>
      <c r="D75" s="15"/>
      <c r="E75" s="12"/>
    </row>
    <row r="76" spans="1:5" ht="12.75">
      <c r="A76" s="61"/>
      <c r="B76" s="6" t="s">
        <v>118</v>
      </c>
      <c r="C76" s="41"/>
      <c r="D76" s="15"/>
      <c r="E76" s="12"/>
    </row>
    <row r="77" spans="1:5" ht="12.75">
      <c r="A77" s="62" t="s">
        <v>166</v>
      </c>
      <c r="B77" s="6" t="s">
        <v>380</v>
      </c>
      <c r="C77" s="41">
        <v>848</v>
      </c>
      <c r="D77" s="15"/>
      <c r="E77" s="12"/>
    </row>
    <row r="78" spans="1:5" ht="12.75">
      <c r="A78" s="62" t="s">
        <v>166</v>
      </c>
      <c r="B78" s="6" t="s">
        <v>560</v>
      </c>
      <c r="C78" s="41">
        <v>8251.87</v>
      </c>
      <c r="D78" s="15"/>
      <c r="E78" s="12"/>
    </row>
    <row r="79" spans="1:5" ht="12.75">
      <c r="A79" s="62" t="s">
        <v>166</v>
      </c>
      <c r="B79" s="6" t="s">
        <v>558</v>
      </c>
      <c r="C79" s="41">
        <v>6885</v>
      </c>
      <c r="D79" s="15"/>
      <c r="E79" s="12"/>
    </row>
    <row r="80" spans="1:5" ht="13.5" thickBot="1">
      <c r="A80" s="63" t="s">
        <v>166</v>
      </c>
      <c r="B80" s="42" t="s">
        <v>818</v>
      </c>
      <c r="C80" s="46">
        <v>288.34</v>
      </c>
      <c r="D80" s="15"/>
      <c r="E80" s="15"/>
    </row>
    <row r="81" spans="1:5" ht="12.75">
      <c r="A81" s="300" t="s">
        <v>787</v>
      </c>
      <c r="B81" s="97" t="s">
        <v>1050</v>
      </c>
      <c r="C81" s="82">
        <f>C82+C83+C85+C84+C86+C87+C89+C90+C91+C88</f>
        <v>270745.46350679244</v>
      </c>
      <c r="D81" s="15"/>
      <c r="E81" s="12"/>
    </row>
    <row r="82" spans="1:5" ht="13.5" thickBot="1">
      <c r="A82" s="40" t="s">
        <v>166</v>
      </c>
      <c r="B82" s="6" t="s">
        <v>227</v>
      </c>
      <c r="C82" s="41">
        <f>C39</f>
        <v>175330.05</v>
      </c>
      <c r="D82" s="15"/>
      <c r="E82" s="12"/>
    </row>
    <row r="83" spans="1:5" ht="12.75">
      <c r="A83" s="40" t="s">
        <v>166</v>
      </c>
      <c r="B83" s="6" t="s">
        <v>370</v>
      </c>
      <c r="C83" s="317">
        <f>401410.25/185335.63*C8</f>
        <v>10921.761064912343</v>
      </c>
      <c r="D83" s="375" t="s">
        <v>547</v>
      </c>
      <c r="E83" s="376"/>
    </row>
    <row r="84" spans="1:5" ht="12.75">
      <c r="A84" s="73" t="s">
        <v>166</v>
      </c>
      <c r="B84" s="74" t="s">
        <v>397</v>
      </c>
      <c r="C84" s="317">
        <f>435991.01/185335.63*C8</f>
        <v>11862.650835821476</v>
      </c>
      <c r="D84" s="377" t="s">
        <v>548</v>
      </c>
      <c r="E84" s="378"/>
    </row>
    <row r="85" spans="1:5" ht="12.75">
      <c r="A85" s="71" t="s">
        <v>166</v>
      </c>
      <c r="B85" s="72" t="s">
        <v>416</v>
      </c>
      <c r="C85" s="317">
        <f>1082167/226605.83*C8</f>
        <v>24081.655493594317</v>
      </c>
      <c r="D85" s="379" t="s">
        <v>549</v>
      </c>
      <c r="E85" s="380"/>
    </row>
    <row r="86" spans="1:5" ht="25.5">
      <c r="A86" s="73" t="s">
        <v>166</v>
      </c>
      <c r="B86" s="72" t="s">
        <v>231</v>
      </c>
      <c r="C86" s="318">
        <f>845684.35/242356.05*D64</f>
        <v>18001.2688966502</v>
      </c>
      <c r="D86" s="381" t="s">
        <v>550</v>
      </c>
      <c r="E86" s="382"/>
    </row>
    <row r="87" spans="1:5" ht="12.75">
      <c r="A87" s="73" t="s">
        <v>166</v>
      </c>
      <c r="B87" s="74" t="s">
        <v>808</v>
      </c>
      <c r="C87" s="318">
        <f>642562.44/242356.05*D64</f>
        <v>13677.60827704528</v>
      </c>
      <c r="D87" s="371" t="s">
        <v>551</v>
      </c>
      <c r="E87" s="372"/>
    </row>
    <row r="88" spans="1:5" ht="12.75">
      <c r="A88" s="73" t="s">
        <v>166</v>
      </c>
      <c r="B88" s="74" t="s">
        <v>826</v>
      </c>
      <c r="C88" s="318">
        <f>51615/196822.43*D64</f>
        <v>1352.8512070499282</v>
      </c>
      <c r="D88" s="371" t="s">
        <v>552</v>
      </c>
      <c r="E88" s="372"/>
    </row>
    <row r="89" spans="1:5" ht="12.75">
      <c r="A89" s="73" t="s">
        <v>166</v>
      </c>
      <c r="B89" s="74" t="s">
        <v>655</v>
      </c>
      <c r="C89" s="318">
        <f>129011.28/196822.43*D64</f>
        <v>3381.4407802200185</v>
      </c>
      <c r="D89" s="371" t="s">
        <v>553</v>
      </c>
      <c r="E89" s="372"/>
    </row>
    <row r="90" spans="1:5" ht="12.75">
      <c r="A90" s="73" t="s">
        <v>166</v>
      </c>
      <c r="B90" s="74" t="s">
        <v>656</v>
      </c>
      <c r="C90" s="318">
        <f>164128/196822.43*D64</f>
        <v>4301.865018128269</v>
      </c>
      <c r="D90" s="373" t="s">
        <v>554</v>
      </c>
      <c r="E90" s="374"/>
    </row>
    <row r="91" spans="1:5" ht="13.5" thickBot="1">
      <c r="A91" s="75" t="s">
        <v>166</v>
      </c>
      <c r="B91" s="76" t="s">
        <v>809</v>
      </c>
      <c r="C91" s="319">
        <f>298900.58/196822.43*D64</f>
        <v>7834.311933370603</v>
      </c>
      <c r="D91" s="369" t="s">
        <v>555</v>
      </c>
      <c r="E91" s="370"/>
    </row>
    <row r="92" ht="13.5" thickBot="1"/>
    <row r="93" spans="2:5" ht="24.75" thickBot="1">
      <c r="B93" s="143"/>
      <c r="C93" s="205" t="s">
        <v>104</v>
      </c>
      <c r="D93" s="236" t="s">
        <v>306</v>
      </c>
      <c r="E93" s="130" t="s">
        <v>305</v>
      </c>
    </row>
    <row r="94" spans="2:5" ht="13.5" thickBot="1">
      <c r="B94" s="363" t="s">
        <v>224</v>
      </c>
      <c r="C94" s="364"/>
      <c r="D94" s="364"/>
      <c r="E94" s="365"/>
    </row>
    <row r="95" spans="2:5" ht="12.75">
      <c r="B95" s="140" t="s">
        <v>285</v>
      </c>
      <c r="C95" s="234">
        <v>366981.02</v>
      </c>
      <c r="D95" s="218">
        <v>408478.48</v>
      </c>
      <c r="E95" s="44">
        <f>D95-C95</f>
        <v>41497.45999999996</v>
      </c>
    </row>
    <row r="96" spans="2:5" ht="13.5" thickBot="1">
      <c r="B96" s="157" t="s">
        <v>637</v>
      </c>
      <c r="C96" s="225">
        <v>198889.22</v>
      </c>
      <c r="D96" s="235">
        <v>221569.06</v>
      </c>
      <c r="E96" s="46">
        <f>D96-C96</f>
        <v>22679.839999999997</v>
      </c>
    </row>
    <row r="97" spans="2:5" ht="13.5" thickBot="1">
      <c r="B97" s="120"/>
      <c r="C97" s="257">
        <f>SUM(C95:C96)</f>
        <v>565870.24</v>
      </c>
      <c r="D97" s="257">
        <f>SUM(D95:D96)</f>
        <v>630047.54</v>
      </c>
      <c r="E97" s="210">
        <f>SUM(E95:E96)</f>
        <v>64177.29999999996</v>
      </c>
    </row>
    <row r="98" spans="2:5" ht="13.5" thickBot="1">
      <c r="B98" s="363" t="s">
        <v>303</v>
      </c>
      <c r="C98" s="364"/>
      <c r="D98" s="364"/>
      <c r="E98" s="365"/>
    </row>
    <row r="99" spans="2:5" ht="12.75">
      <c r="B99" s="140" t="s">
        <v>285</v>
      </c>
      <c r="C99" s="234">
        <v>524727.33</v>
      </c>
      <c r="D99" s="218">
        <v>556807.39</v>
      </c>
      <c r="E99" s="44">
        <f>D99-C99</f>
        <v>32080.060000000056</v>
      </c>
    </row>
    <row r="100" spans="2:5" ht="12.75">
      <c r="B100" s="115" t="s">
        <v>637</v>
      </c>
      <c r="C100" s="10">
        <v>247352.17</v>
      </c>
      <c r="D100" s="99">
        <v>261784.97</v>
      </c>
      <c r="E100" s="45">
        <f>D100-C100</f>
        <v>14432.799999999988</v>
      </c>
    </row>
    <row r="101" spans="2:5" ht="26.25" thickBot="1">
      <c r="B101" s="156" t="s">
        <v>211</v>
      </c>
      <c r="C101" s="281">
        <v>7400</v>
      </c>
      <c r="D101" s="281">
        <v>7400</v>
      </c>
      <c r="E101" s="246">
        <f>D101-C101</f>
        <v>0</v>
      </c>
    </row>
    <row r="102" spans="2:5" ht="13.5" thickBot="1">
      <c r="B102" s="187"/>
      <c r="C102" s="254">
        <f>SUM(C99:C101)</f>
        <v>779479.5</v>
      </c>
      <c r="D102" s="255">
        <f>SUM(D99:D101)</f>
        <v>825992.36</v>
      </c>
      <c r="E102" s="256">
        <f>SUM(E99:E101)</f>
        <v>46512.860000000044</v>
      </c>
    </row>
    <row r="103" spans="2:5" ht="13.5" thickBot="1">
      <c r="B103" s="363" t="s">
        <v>409</v>
      </c>
      <c r="C103" s="364"/>
      <c r="D103" s="364"/>
      <c r="E103" s="365"/>
    </row>
    <row r="104" spans="2:5" ht="12.75">
      <c r="B104" s="140" t="s">
        <v>285</v>
      </c>
      <c r="C104" s="234">
        <v>519191.93</v>
      </c>
      <c r="D104" s="218">
        <v>538248.99</v>
      </c>
      <c r="E104" s="242">
        <f>D104-C104</f>
        <v>19057.059999999998</v>
      </c>
    </row>
    <row r="105" spans="2:5" ht="12.75">
      <c r="B105" s="115" t="s">
        <v>637</v>
      </c>
      <c r="C105" s="10">
        <v>253569.68</v>
      </c>
      <c r="D105" s="99">
        <v>261700.37</v>
      </c>
      <c r="E105" s="57">
        <f>D105-C105</f>
        <v>8130.690000000002</v>
      </c>
    </row>
    <row r="106" spans="2:5" ht="12.75">
      <c r="B106" s="116" t="s">
        <v>408</v>
      </c>
      <c r="C106" s="67">
        <v>44275.3</v>
      </c>
      <c r="D106" s="101">
        <v>46203.45</v>
      </c>
      <c r="E106" s="57">
        <f>D106-C106</f>
        <v>1928.1499999999942</v>
      </c>
    </row>
    <row r="107" spans="2:5" ht="25.5">
      <c r="B107" s="278" t="s">
        <v>211</v>
      </c>
      <c r="C107" s="279">
        <v>4200</v>
      </c>
      <c r="D107" s="279">
        <v>4200</v>
      </c>
      <c r="E107" s="280">
        <f>C107-D107</f>
        <v>0</v>
      </c>
    </row>
    <row r="108" spans="2:5" ht="13.5" thickBot="1">
      <c r="B108" s="157" t="s">
        <v>1200</v>
      </c>
      <c r="C108" s="142">
        <v>25743.96</v>
      </c>
      <c r="D108" s="142">
        <v>25743.96</v>
      </c>
      <c r="E108" s="219">
        <v>0</v>
      </c>
    </row>
    <row r="109" spans="2:5" ht="13.5" thickBot="1">
      <c r="B109" s="187"/>
      <c r="C109" s="254">
        <f>SUM(C104:C108)</f>
        <v>846980.87</v>
      </c>
      <c r="D109" s="255">
        <f>SUM(D104:D108)</f>
        <v>876096.7699999999</v>
      </c>
      <c r="E109" s="256">
        <f>SUM(E104:E108)</f>
        <v>29115.899999999994</v>
      </c>
    </row>
    <row r="110" spans="2:5" ht="13.5" thickBot="1">
      <c r="B110" s="363" t="s">
        <v>976</v>
      </c>
      <c r="C110" s="364"/>
      <c r="D110" s="364"/>
      <c r="E110" s="365"/>
    </row>
    <row r="111" spans="2:5" ht="12.75">
      <c r="B111" s="140" t="s">
        <v>285</v>
      </c>
      <c r="C111" s="141">
        <v>582930.33</v>
      </c>
      <c r="D111" s="155">
        <v>608107.29</v>
      </c>
      <c r="E111" s="253">
        <f aca="true" t="shared" si="1" ref="E111:E118">D111-C111</f>
        <v>25176.96000000008</v>
      </c>
    </row>
    <row r="112" spans="2:5" ht="12.75">
      <c r="B112" s="115" t="s">
        <v>637</v>
      </c>
      <c r="C112" s="5">
        <v>284263.09</v>
      </c>
      <c r="D112" s="33">
        <v>295403.19</v>
      </c>
      <c r="E112" s="53">
        <f t="shared" si="1"/>
        <v>11140.099999999977</v>
      </c>
    </row>
    <row r="113" spans="2:5" ht="12.75">
      <c r="B113" s="115" t="s">
        <v>633</v>
      </c>
      <c r="C113" s="65">
        <v>56830.12</v>
      </c>
      <c r="D113" s="70">
        <v>60195.26</v>
      </c>
      <c r="E113" s="81">
        <f t="shared" si="1"/>
        <v>3365.1399999999994</v>
      </c>
    </row>
    <row r="114" spans="2:5" ht="12.75">
      <c r="B114" s="278" t="s">
        <v>792</v>
      </c>
      <c r="C114" s="122">
        <v>4950</v>
      </c>
      <c r="D114" s="122">
        <v>5450</v>
      </c>
      <c r="E114" s="81">
        <f t="shared" si="1"/>
        <v>500</v>
      </c>
    </row>
    <row r="115" spans="2:5" ht="12.75">
      <c r="B115" s="278" t="s">
        <v>364</v>
      </c>
      <c r="C115" s="122">
        <v>16080.07</v>
      </c>
      <c r="D115" s="122">
        <v>29901.96</v>
      </c>
      <c r="E115" s="81">
        <f t="shared" si="1"/>
        <v>13821.89</v>
      </c>
    </row>
    <row r="116" spans="2:5" ht="12.75">
      <c r="B116" s="278" t="s">
        <v>113</v>
      </c>
      <c r="C116" s="122">
        <v>3238.79</v>
      </c>
      <c r="D116" s="122">
        <v>3319.96</v>
      </c>
      <c r="E116" s="81">
        <f t="shared" si="1"/>
        <v>81.17000000000007</v>
      </c>
    </row>
    <row r="117" spans="2:5" ht="12.75">
      <c r="B117" s="220" t="s">
        <v>423</v>
      </c>
      <c r="C117" s="125">
        <v>7167.14</v>
      </c>
      <c r="D117" s="125">
        <v>5390</v>
      </c>
      <c r="E117" s="81">
        <f t="shared" si="1"/>
        <v>-1777.1400000000003</v>
      </c>
    </row>
    <row r="118" spans="2:5" ht="13.5" thickBot="1">
      <c r="B118" s="157" t="s">
        <v>1200</v>
      </c>
      <c r="C118" s="229">
        <v>3985.63</v>
      </c>
      <c r="D118" s="229">
        <v>3985.63</v>
      </c>
      <c r="E118" s="85">
        <f t="shared" si="1"/>
        <v>0</v>
      </c>
    </row>
    <row r="119" spans="2:5" ht="13.5" thickBot="1">
      <c r="B119" s="324"/>
      <c r="C119" s="119">
        <f>SUM(C111:C118)</f>
        <v>959445.1699999999</v>
      </c>
      <c r="D119" s="119">
        <f>SUM(D111:D118)</f>
        <v>1011753.2899999999</v>
      </c>
      <c r="E119" s="119">
        <f>SUM(E111:E118)</f>
        <v>52308.12000000005</v>
      </c>
    </row>
    <row r="120" spans="2:5" ht="13.5" thickBot="1">
      <c r="B120" s="363" t="s">
        <v>87</v>
      </c>
      <c r="C120" s="364"/>
      <c r="D120" s="364"/>
      <c r="E120" s="365"/>
    </row>
    <row r="121" spans="2:5" ht="12.75">
      <c r="B121" s="140" t="s">
        <v>285</v>
      </c>
      <c r="C121" s="234">
        <v>580627.97</v>
      </c>
      <c r="D121" s="218">
        <f>607685.84+0.71</f>
        <v>607686.5499999999</v>
      </c>
      <c r="E121" s="253">
        <f aca="true" t="shared" si="2" ref="E121:E129">D121-C121</f>
        <v>27058.579999999958</v>
      </c>
    </row>
    <row r="122" spans="2:5" ht="12.75">
      <c r="B122" s="115" t="s">
        <v>637</v>
      </c>
      <c r="C122" s="10">
        <v>295182.11</v>
      </c>
      <c r="D122" s="98">
        <v>309118.62</v>
      </c>
      <c r="E122" s="53">
        <f t="shared" si="2"/>
        <v>13936.51000000001</v>
      </c>
    </row>
    <row r="123" spans="2:5" ht="12.75">
      <c r="B123" s="115" t="s">
        <v>364</v>
      </c>
      <c r="C123" s="10">
        <v>123278.5</v>
      </c>
      <c r="D123" s="98">
        <v>123409.33</v>
      </c>
      <c r="E123" s="81">
        <f t="shared" si="2"/>
        <v>130.83000000000175</v>
      </c>
    </row>
    <row r="124" spans="2:5" ht="12.75">
      <c r="B124" s="115" t="s">
        <v>633</v>
      </c>
      <c r="C124" s="10">
        <v>74034.83</v>
      </c>
      <c r="D124" s="98">
        <v>81270.52</v>
      </c>
      <c r="E124" s="81">
        <f t="shared" si="2"/>
        <v>7235.690000000002</v>
      </c>
    </row>
    <row r="125" spans="2:5" ht="12.75">
      <c r="B125" s="115" t="s">
        <v>556</v>
      </c>
      <c r="C125" s="10">
        <v>30131.29</v>
      </c>
      <c r="D125" s="98">
        <v>33663.01</v>
      </c>
      <c r="E125" s="81">
        <f t="shared" si="2"/>
        <v>3531.720000000001</v>
      </c>
    </row>
    <row r="126" spans="2:5" ht="12.75">
      <c r="B126" s="115" t="s">
        <v>393</v>
      </c>
      <c r="C126" s="10">
        <v>13185.83</v>
      </c>
      <c r="D126" s="98">
        <v>18118.06</v>
      </c>
      <c r="E126" s="81">
        <f t="shared" si="2"/>
        <v>4932.230000000001</v>
      </c>
    </row>
    <row r="127" spans="2:5" ht="12.75">
      <c r="B127" s="115" t="s">
        <v>1036</v>
      </c>
      <c r="C127" s="10">
        <v>35635.39</v>
      </c>
      <c r="D127" s="98">
        <v>35635.39</v>
      </c>
      <c r="E127" s="81">
        <f t="shared" si="2"/>
        <v>0</v>
      </c>
    </row>
    <row r="128" spans="2:5" ht="12.75">
      <c r="B128" s="115" t="s">
        <v>232</v>
      </c>
      <c r="C128" s="125">
        <v>7291.08</v>
      </c>
      <c r="D128" s="125">
        <v>13978.47</v>
      </c>
      <c r="E128" s="81">
        <f t="shared" si="2"/>
        <v>6687.389999999999</v>
      </c>
    </row>
    <row r="129" spans="2:5" ht="13.5" thickBot="1">
      <c r="B129" s="157" t="s">
        <v>29</v>
      </c>
      <c r="C129" s="225">
        <f>3500+2400+3600</f>
        <v>9500</v>
      </c>
      <c r="D129" s="227">
        <f>4200+2400+3300</f>
        <v>9900</v>
      </c>
      <c r="E129" s="85">
        <f t="shared" si="2"/>
        <v>400</v>
      </c>
    </row>
    <row r="130" spans="2:5" ht="13.5" thickBot="1">
      <c r="B130" s="324"/>
      <c r="C130" s="119">
        <f>SUM(C121:C129)</f>
        <v>1168867</v>
      </c>
      <c r="D130" s="119">
        <f>SUM(D121:D129)</f>
        <v>1232779.9499999997</v>
      </c>
      <c r="E130" s="119">
        <f>SUM(E121:E129)</f>
        <v>63912.949999999975</v>
      </c>
    </row>
    <row r="131" spans="2:5" ht="13.5" thickBot="1">
      <c r="B131" s="366" t="s">
        <v>379</v>
      </c>
      <c r="C131" s="367"/>
      <c r="D131" s="367"/>
      <c r="E131" s="368"/>
    </row>
    <row r="132" spans="2:5" ht="13.5" thickBot="1">
      <c r="B132" s="153"/>
      <c r="C132" s="117">
        <f>C97+C102+C109+C119+C130</f>
        <v>4320642.779999999</v>
      </c>
      <c r="D132" s="117">
        <f>D97+D102+D109+D119+D130</f>
        <v>4576669.91</v>
      </c>
      <c r="E132" s="117">
        <f>E97+E102+E109+E119+E130</f>
        <v>256027.13000000003</v>
      </c>
    </row>
  </sheetData>
  <sheetProtection/>
  <mergeCells count="23">
    <mergeCell ref="B103:E103"/>
    <mergeCell ref="D87:E87"/>
    <mergeCell ref="D88:E88"/>
    <mergeCell ref="D89:E89"/>
    <mergeCell ref="D90:E90"/>
    <mergeCell ref="B110:E110"/>
    <mergeCell ref="B131:E131"/>
    <mergeCell ref="B120:E120"/>
    <mergeCell ref="D91:E91"/>
    <mergeCell ref="B94:E94"/>
    <mergeCell ref="B98:E98"/>
    <mergeCell ref="A24:D24"/>
    <mergeCell ref="D28:E28"/>
    <mergeCell ref="D83:E83"/>
    <mergeCell ref="D84:E84"/>
    <mergeCell ref="D85:E85"/>
    <mergeCell ref="D86:E86"/>
    <mergeCell ref="A2:B2"/>
    <mergeCell ref="C2:E2"/>
    <mergeCell ref="C3:E3"/>
    <mergeCell ref="B4:E4"/>
    <mergeCell ref="A6:E6"/>
    <mergeCell ref="A23:D23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7.625" style="0" customWidth="1"/>
    <col min="3" max="3" width="10.25390625" style="0" customWidth="1"/>
    <col min="4" max="4" width="12.1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6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374</v>
      </c>
      <c r="C7" s="26"/>
      <c r="D7" s="24"/>
    </row>
    <row r="8" spans="1:4" ht="15">
      <c r="A8" s="26"/>
      <c r="B8" s="27" t="s">
        <v>115</v>
      </c>
      <c r="C8" s="38">
        <v>3544.9</v>
      </c>
      <c r="D8" s="92" t="s">
        <v>116</v>
      </c>
    </row>
    <row r="9" spans="1:4" ht="15">
      <c r="A9" s="26"/>
      <c r="B9" s="27"/>
      <c r="C9" s="38"/>
      <c r="D9" s="92"/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368648.18</v>
      </c>
      <c r="D12" s="218">
        <f>409706.3-43.92</f>
        <v>409662.38</v>
      </c>
      <c r="E12" s="242">
        <f aca="true" t="shared" si="0" ref="E12:E19">D12-C12</f>
        <v>41014.20000000001</v>
      </c>
    </row>
    <row r="13" spans="1:5" ht="12.75">
      <c r="A13" s="84">
        <v>2</v>
      </c>
      <c r="B13" s="5" t="s">
        <v>637</v>
      </c>
      <c r="C13" s="10">
        <v>183228.75</v>
      </c>
      <c r="D13" s="98">
        <v>206100.54</v>
      </c>
      <c r="E13" s="57">
        <f t="shared" si="0"/>
        <v>22871.790000000008</v>
      </c>
    </row>
    <row r="14" spans="1:5" ht="12.75">
      <c r="A14" s="84">
        <v>3</v>
      </c>
      <c r="B14" s="5" t="s">
        <v>364</v>
      </c>
      <c r="C14" s="10">
        <v>48994.48</v>
      </c>
      <c r="D14" s="98">
        <v>46368.36</v>
      </c>
      <c r="E14" s="57">
        <f t="shared" si="0"/>
        <v>-2626.1200000000026</v>
      </c>
    </row>
    <row r="15" spans="1:5" ht="12.75">
      <c r="A15" s="84">
        <v>4</v>
      </c>
      <c r="B15" s="5" t="s">
        <v>633</v>
      </c>
      <c r="C15" s="10">
        <v>6684.72</v>
      </c>
      <c r="D15" s="98">
        <v>9281.88</v>
      </c>
      <c r="E15" s="57">
        <f t="shared" si="0"/>
        <v>2597.159999999999</v>
      </c>
    </row>
    <row r="16" spans="1:5" ht="12.75">
      <c r="A16" s="84">
        <v>5</v>
      </c>
      <c r="B16" s="5" t="s">
        <v>556</v>
      </c>
      <c r="C16" s="10">
        <v>24697</v>
      </c>
      <c r="D16" s="98">
        <v>25492.14</v>
      </c>
      <c r="E16" s="57">
        <f t="shared" si="0"/>
        <v>795.1399999999994</v>
      </c>
    </row>
    <row r="17" spans="1:5" ht="12.75">
      <c r="A17" s="84">
        <v>6</v>
      </c>
      <c r="B17" s="5" t="s">
        <v>573</v>
      </c>
      <c r="C17" s="10">
        <v>3045.68</v>
      </c>
      <c r="D17" s="98">
        <v>3045.68</v>
      </c>
      <c r="E17" s="57">
        <f t="shared" si="0"/>
        <v>0</v>
      </c>
    </row>
    <row r="18" spans="1:5" ht="12.75">
      <c r="A18" s="84">
        <v>7</v>
      </c>
      <c r="B18" s="5" t="s">
        <v>1036</v>
      </c>
      <c r="C18" s="10">
        <v>14472.13</v>
      </c>
      <c r="D18" s="98">
        <v>14472.13</v>
      </c>
      <c r="E18" s="57">
        <f t="shared" si="0"/>
        <v>0</v>
      </c>
    </row>
    <row r="19" spans="1:5" ht="12.75">
      <c r="A19" s="84">
        <v>8</v>
      </c>
      <c r="B19" s="5" t="s">
        <v>29</v>
      </c>
      <c r="C19" s="10">
        <f>3500+3600</f>
        <v>7100</v>
      </c>
      <c r="D19" s="98">
        <f>4200+3300</f>
        <v>7500</v>
      </c>
      <c r="E19" s="57">
        <f t="shared" si="0"/>
        <v>400</v>
      </c>
    </row>
    <row r="20" spans="1:5" ht="13.5" thickBot="1">
      <c r="A20" s="250"/>
      <c r="B20" s="251"/>
      <c r="C20" s="118">
        <f>SUM(C12:C19)</f>
        <v>656870.94</v>
      </c>
      <c r="D20" s="118">
        <f>SUM(D12:D19)</f>
        <v>721923.1100000001</v>
      </c>
      <c r="E20" s="137">
        <f>SUM(E12:E19)</f>
        <v>65052.17000000001</v>
      </c>
    </row>
    <row r="21" spans="1:5" ht="12.75">
      <c r="A21" s="385" t="s">
        <v>793</v>
      </c>
      <c r="B21" s="386"/>
      <c r="C21" s="386"/>
      <c r="D21" s="386"/>
      <c r="E21" s="108">
        <f>E125</f>
        <v>152163.10000000006</v>
      </c>
    </row>
    <row r="22" spans="1:5" ht="12.75">
      <c r="A22" s="387" t="s">
        <v>794</v>
      </c>
      <c r="B22" s="384"/>
      <c r="C22" s="384"/>
      <c r="D22" s="384"/>
      <c r="E22" s="259">
        <v>166985.9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25.5">
      <c r="A25" s="86">
        <v>1</v>
      </c>
      <c r="B25" s="64" t="s">
        <v>583</v>
      </c>
      <c r="C25" s="80">
        <f>C62</f>
        <v>409506.47</v>
      </c>
      <c r="E25" s="29"/>
    </row>
    <row r="26" spans="1:5" ht="12.75">
      <c r="A26" s="91">
        <v>2</v>
      </c>
      <c r="B26" s="25" t="s">
        <v>344</v>
      </c>
      <c r="C26" s="102">
        <f>C74</f>
        <v>12862.31</v>
      </c>
      <c r="D26" s="388"/>
      <c r="E26" s="389"/>
    </row>
    <row r="27" spans="1:5" ht="12.75">
      <c r="A27" s="84">
        <v>3</v>
      </c>
      <c r="B27" s="9" t="s">
        <v>649</v>
      </c>
      <c r="C27" s="48">
        <v>6515.2</v>
      </c>
      <c r="E27" s="29"/>
    </row>
    <row r="28" spans="1:5" ht="12.75">
      <c r="A28" s="84">
        <v>4</v>
      </c>
      <c r="B28" s="9" t="s">
        <v>122</v>
      </c>
      <c r="C28" s="48">
        <f>(C8*0.55*12)</f>
        <v>23396.340000000004</v>
      </c>
      <c r="E28" s="29"/>
    </row>
    <row r="29" spans="1:5" ht="12.75">
      <c r="A29" s="84">
        <v>5</v>
      </c>
      <c r="B29" s="9" t="s">
        <v>658</v>
      </c>
      <c r="C29" s="79">
        <v>57721.56</v>
      </c>
      <c r="E29" s="29"/>
    </row>
    <row r="30" spans="1:5" ht="12.75">
      <c r="A30" s="91">
        <v>6</v>
      </c>
      <c r="B30" s="25" t="s">
        <v>61</v>
      </c>
      <c r="C30" s="203">
        <v>2400</v>
      </c>
      <c r="E30" s="29"/>
    </row>
    <row r="31" spans="1:5" ht="12.75">
      <c r="A31" s="84">
        <v>7</v>
      </c>
      <c r="B31" s="25" t="s">
        <v>1006</v>
      </c>
      <c r="C31" s="203">
        <v>21268.14</v>
      </c>
      <c r="E31" s="29"/>
    </row>
    <row r="32" spans="1:5" ht="38.25">
      <c r="A32" s="91">
        <v>8</v>
      </c>
      <c r="B32" s="25" t="s">
        <v>576</v>
      </c>
      <c r="C32" s="349">
        <v>1937.31</v>
      </c>
      <c r="E32" s="29"/>
    </row>
    <row r="33" spans="1:5" ht="12.75">
      <c r="A33" s="84">
        <v>9</v>
      </c>
      <c r="B33" s="346" t="s">
        <v>26</v>
      </c>
      <c r="C33" s="96">
        <v>600</v>
      </c>
      <c r="E33" s="29"/>
    </row>
    <row r="34" spans="1:5" ht="25.5">
      <c r="A34" s="91">
        <v>10</v>
      </c>
      <c r="B34" s="25" t="s">
        <v>60</v>
      </c>
      <c r="C34" s="96">
        <v>-2300</v>
      </c>
      <c r="E34" s="29"/>
    </row>
    <row r="35" spans="1:3" ht="12.75">
      <c r="A35" s="50"/>
      <c r="B35" s="20" t="s">
        <v>629</v>
      </c>
      <c r="C35" s="51">
        <f>SUM(C25:C34)</f>
        <v>533907.3300000001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(C20)*15%</f>
        <v>98530.64099999999</v>
      </c>
    </row>
    <row r="38" spans="1:3" ht="12.75">
      <c r="A38" s="84">
        <v>2</v>
      </c>
      <c r="B38" s="9" t="s">
        <v>813</v>
      </c>
      <c r="C38" s="48">
        <f>C80</f>
        <v>7677.742241062877</v>
      </c>
    </row>
    <row r="39" spans="1:3" ht="12.75">
      <c r="A39" s="84">
        <v>3</v>
      </c>
      <c r="B39" s="9" t="s">
        <v>653</v>
      </c>
      <c r="C39" s="48">
        <f>C81</f>
        <v>8339.165714379906</v>
      </c>
    </row>
    <row r="40" spans="1:3" ht="12.75">
      <c r="A40" s="84">
        <v>4</v>
      </c>
      <c r="B40" s="9" t="s">
        <v>1114</v>
      </c>
      <c r="C40" s="52">
        <f>C82</f>
        <v>16928.839819787514</v>
      </c>
    </row>
    <row r="41" spans="1:3" ht="12.75">
      <c r="A41" s="84">
        <v>5</v>
      </c>
      <c r="B41" s="9" t="s">
        <v>162</v>
      </c>
      <c r="C41" s="52">
        <f>C83</f>
        <v>12369.678629087248</v>
      </c>
    </row>
    <row r="42" spans="1:3" ht="12.75">
      <c r="A42" s="84">
        <v>6</v>
      </c>
      <c r="B42" s="9" t="s">
        <v>1051</v>
      </c>
      <c r="C42" s="48">
        <f>C84+C86+C87+C88+C85</f>
        <v>20991.29233975719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164837.35974407475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C20*2%</f>
        <v>13137.4188</v>
      </c>
    </row>
    <row r="50" spans="1:3" ht="12.75">
      <c r="A50" s="84">
        <v>2</v>
      </c>
      <c r="B50" s="9" t="s">
        <v>391</v>
      </c>
      <c r="C50" s="48">
        <f>C51</f>
        <v>38624.011271999996</v>
      </c>
    </row>
    <row r="51" spans="1:4" ht="12.75">
      <c r="A51" s="49"/>
      <c r="B51" s="5" t="s">
        <v>334</v>
      </c>
      <c r="C51" s="41">
        <f>(C20-C49)*6%</f>
        <v>38624.011271999996</v>
      </c>
      <c r="D51" s="19"/>
    </row>
    <row r="52" spans="1:3" ht="13.5" thickBot="1">
      <c r="A52" s="54"/>
      <c r="B52" s="55" t="s">
        <v>967</v>
      </c>
      <c r="C52" s="56">
        <f>C49+C50</f>
        <v>51761.430071999996</v>
      </c>
    </row>
    <row r="53" spans="1:3" ht="12.75">
      <c r="A53" s="23"/>
      <c r="B53" s="4" t="s">
        <v>288</v>
      </c>
      <c r="C53" s="11">
        <f>C35+C47+C52</f>
        <v>750506.1198160748</v>
      </c>
    </row>
    <row r="54" spans="1:3" ht="12.75">
      <c r="A54" s="23"/>
      <c r="B54" s="77"/>
      <c r="C54" s="1"/>
    </row>
    <row r="55" spans="1:3" ht="15">
      <c r="A55" s="23"/>
      <c r="B55" s="14" t="s">
        <v>812</v>
      </c>
      <c r="C55" s="11">
        <v>689912.56</v>
      </c>
    </row>
    <row r="56" spans="1:3" ht="15">
      <c r="A56" s="23"/>
      <c r="B56" s="14" t="s">
        <v>180</v>
      </c>
      <c r="C56" s="11">
        <f>C53+C55-C20</f>
        <v>783547.739816075</v>
      </c>
    </row>
    <row r="57" ht="12.75">
      <c r="B57" s="1" t="s">
        <v>85</v>
      </c>
    </row>
    <row r="58" ht="12.75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425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3544.9</v>
      </c>
      <c r="E61" t="s">
        <v>116</v>
      </c>
    </row>
    <row r="62" spans="1:5" ht="12.75">
      <c r="A62" s="60" t="s">
        <v>218</v>
      </c>
      <c r="B62" s="39" t="s">
        <v>797</v>
      </c>
      <c r="C62" s="47">
        <v>409506.47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36637.66</v>
      </c>
      <c r="D64" s="15"/>
      <c r="E64" s="15"/>
    </row>
    <row r="65" spans="1:5" ht="12.75">
      <c r="A65" s="62" t="s">
        <v>166</v>
      </c>
      <c r="B65" s="6" t="s">
        <v>575</v>
      </c>
      <c r="C65" s="41">
        <v>2406.09</v>
      </c>
      <c r="D65" s="15"/>
      <c r="E65" s="15"/>
    </row>
    <row r="66" spans="1:5" ht="12.75">
      <c r="A66" s="62" t="s">
        <v>166</v>
      </c>
      <c r="B66" s="6" t="s">
        <v>574</v>
      </c>
      <c r="C66" s="41">
        <v>800</v>
      </c>
      <c r="D66" s="15"/>
      <c r="E66" s="15"/>
    </row>
    <row r="67" spans="1:5" ht="12.75">
      <c r="A67" s="62" t="s">
        <v>166</v>
      </c>
      <c r="B67" s="6" t="s">
        <v>577</v>
      </c>
      <c r="C67" s="41">
        <v>51733.14</v>
      </c>
      <c r="D67" s="15"/>
      <c r="E67" s="15"/>
    </row>
    <row r="68" spans="1:5" ht="12.75">
      <c r="A68" s="62" t="s">
        <v>166</v>
      </c>
      <c r="B68" s="6" t="s">
        <v>578</v>
      </c>
      <c r="C68" s="41">
        <v>51733.14</v>
      </c>
      <c r="D68" s="15"/>
      <c r="E68" s="15"/>
    </row>
    <row r="69" spans="1:5" ht="12.75">
      <c r="A69" s="62" t="s">
        <v>166</v>
      </c>
      <c r="B69" s="6" t="s">
        <v>579</v>
      </c>
      <c r="C69" s="41">
        <v>11090.66</v>
      </c>
      <c r="D69" s="15"/>
      <c r="E69" s="15"/>
    </row>
    <row r="70" spans="1:5" ht="12.75">
      <c r="A70" s="62" t="s">
        <v>166</v>
      </c>
      <c r="B70" s="6" t="s">
        <v>580</v>
      </c>
      <c r="C70" s="41">
        <v>9301.65</v>
      </c>
      <c r="D70" s="15"/>
      <c r="E70" s="15"/>
    </row>
    <row r="71" spans="1:5" ht="12.75">
      <c r="A71" s="62" t="s">
        <v>166</v>
      </c>
      <c r="B71" s="6" t="s">
        <v>581</v>
      </c>
      <c r="C71" s="41">
        <v>21815.55</v>
      </c>
      <c r="D71" s="15"/>
      <c r="E71" s="15"/>
    </row>
    <row r="72" spans="1:5" ht="12.75">
      <c r="A72" s="62" t="s">
        <v>166</v>
      </c>
      <c r="B72" s="6" t="s">
        <v>582</v>
      </c>
      <c r="C72" s="41">
        <v>34432.75</v>
      </c>
      <c r="D72" s="15"/>
      <c r="E72" s="15"/>
    </row>
    <row r="73" spans="1:5" ht="13.5" thickBot="1">
      <c r="A73" s="63" t="s">
        <v>166</v>
      </c>
      <c r="B73" s="42" t="s">
        <v>818</v>
      </c>
      <c r="C73" s="43">
        <v>5249.55</v>
      </c>
      <c r="D73" s="15"/>
      <c r="E73" s="15"/>
    </row>
    <row r="74" spans="1:5" ht="12.75">
      <c r="A74" s="60" t="s">
        <v>328</v>
      </c>
      <c r="B74" s="39" t="s">
        <v>343</v>
      </c>
      <c r="C74" s="47">
        <v>12862.31</v>
      </c>
      <c r="D74" s="15"/>
      <c r="E74" s="12"/>
    </row>
    <row r="75" spans="1:5" ht="12.75">
      <c r="A75" s="61"/>
      <c r="B75" s="6" t="s">
        <v>118</v>
      </c>
      <c r="C75" s="41"/>
      <c r="D75" s="15"/>
      <c r="E75" s="12"/>
    </row>
    <row r="76" spans="1:5" ht="12.75">
      <c r="A76" s="62" t="s">
        <v>166</v>
      </c>
      <c r="B76" s="6" t="s">
        <v>380</v>
      </c>
      <c r="C76" s="41">
        <v>273</v>
      </c>
      <c r="D76" s="15"/>
      <c r="E76" s="12"/>
    </row>
    <row r="77" spans="1:5" ht="13.5" thickBot="1">
      <c r="A77" s="63" t="s">
        <v>166</v>
      </c>
      <c r="B77" s="42" t="s">
        <v>818</v>
      </c>
      <c r="C77" s="43">
        <v>202.7</v>
      </c>
      <c r="D77" s="15"/>
      <c r="E77" s="15"/>
    </row>
    <row r="78" spans="1:5" ht="12.75">
      <c r="A78" s="300" t="s">
        <v>787</v>
      </c>
      <c r="B78" s="97" t="s">
        <v>1050</v>
      </c>
      <c r="C78" s="82">
        <f>C79+C80+C82+C81+C83+C84+C86+C87+C88+C85</f>
        <v>164837.35974407473</v>
      </c>
      <c r="D78" s="15"/>
      <c r="E78" s="12"/>
    </row>
    <row r="79" spans="1:5" ht="13.5" thickBot="1">
      <c r="A79" s="40" t="s">
        <v>166</v>
      </c>
      <c r="B79" s="6" t="s">
        <v>227</v>
      </c>
      <c r="C79" s="41">
        <f>C37</f>
        <v>98530.64099999999</v>
      </c>
      <c r="D79" s="15"/>
      <c r="E79" s="12"/>
    </row>
    <row r="80" spans="1:5" ht="12.75">
      <c r="A80" s="40" t="s">
        <v>166</v>
      </c>
      <c r="B80" s="6" t="s">
        <v>370</v>
      </c>
      <c r="C80" s="317">
        <f>401410.25/185335.63*C8</f>
        <v>7677.742241062877</v>
      </c>
      <c r="D80" s="375" t="s">
        <v>564</v>
      </c>
      <c r="E80" s="376"/>
    </row>
    <row r="81" spans="1:5" ht="12.75">
      <c r="A81" s="73" t="s">
        <v>166</v>
      </c>
      <c r="B81" s="74" t="s">
        <v>397</v>
      </c>
      <c r="C81" s="317">
        <f>435991.01/185335.63*C8</f>
        <v>8339.165714379906</v>
      </c>
      <c r="D81" s="377" t="s">
        <v>565</v>
      </c>
      <c r="E81" s="378"/>
    </row>
    <row r="82" spans="1:5" ht="12.75">
      <c r="A82" s="71" t="s">
        <v>166</v>
      </c>
      <c r="B82" s="72" t="s">
        <v>416</v>
      </c>
      <c r="C82" s="317">
        <f>1082167/226605.83*C8</f>
        <v>16928.839819787514</v>
      </c>
      <c r="D82" s="379" t="s">
        <v>566</v>
      </c>
      <c r="E82" s="380"/>
    </row>
    <row r="83" spans="1:5" ht="25.5">
      <c r="A83" s="73" t="s">
        <v>166</v>
      </c>
      <c r="B83" s="72" t="s">
        <v>231</v>
      </c>
      <c r="C83" s="318">
        <f>845684.35/242356.05*D61</f>
        <v>12369.678629087248</v>
      </c>
      <c r="D83" s="381" t="s">
        <v>567</v>
      </c>
      <c r="E83" s="382"/>
    </row>
    <row r="84" spans="1:5" ht="12.75">
      <c r="A84" s="73" t="s">
        <v>166</v>
      </c>
      <c r="B84" s="74" t="s">
        <v>808</v>
      </c>
      <c r="C84" s="318">
        <f>642562.44/242356.05*D61</f>
        <v>9398.649604810773</v>
      </c>
      <c r="D84" s="371" t="s">
        <v>568</v>
      </c>
      <c r="E84" s="372"/>
    </row>
    <row r="85" spans="1:5" ht="12.75">
      <c r="A85" s="73" t="s">
        <v>166</v>
      </c>
      <c r="B85" s="74" t="s">
        <v>826</v>
      </c>
      <c r="C85" s="318">
        <f>51615/196822.43*D61</f>
        <v>929.619726267987</v>
      </c>
      <c r="D85" s="371" t="s">
        <v>569</v>
      </c>
      <c r="E85" s="372"/>
    </row>
    <row r="86" spans="1:5" ht="12.75">
      <c r="A86" s="73" t="s">
        <v>166</v>
      </c>
      <c r="B86" s="74" t="s">
        <v>655</v>
      </c>
      <c r="C86" s="318">
        <f>129011.28/196822.43*D61</f>
        <v>2323.5770764134963</v>
      </c>
      <c r="D86" s="371" t="s">
        <v>570</v>
      </c>
      <c r="E86" s="372"/>
    </row>
    <row r="87" spans="1:5" ht="12.75">
      <c r="A87" s="73" t="s">
        <v>166</v>
      </c>
      <c r="B87" s="74" t="s">
        <v>656</v>
      </c>
      <c r="C87" s="318">
        <f>164128/196822.43*D61</f>
        <v>2956.052047523242</v>
      </c>
      <c r="D87" s="373" t="s">
        <v>571</v>
      </c>
      <c r="E87" s="374"/>
    </row>
    <row r="88" spans="1:5" ht="13.5" thickBot="1">
      <c r="A88" s="75" t="s">
        <v>166</v>
      </c>
      <c r="B88" s="76" t="s">
        <v>809</v>
      </c>
      <c r="C88" s="319">
        <f>298900.58/196822.43*D61</f>
        <v>5383.393884741694</v>
      </c>
      <c r="D88" s="369" t="s">
        <v>572</v>
      </c>
      <c r="E88" s="370"/>
    </row>
    <row r="89" ht="13.5" thickBot="1"/>
    <row r="90" spans="2:5" ht="26.25" thickBot="1">
      <c r="B90" s="143"/>
      <c r="C90" s="205" t="s">
        <v>104</v>
      </c>
      <c r="D90" s="236" t="s">
        <v>306</v>
      </c>
      <c r="E90" s="130" t="s">
        <v>305</v>
      </c>
    </row>
    <row r="91" spans="2:5" ht="13.5" thickBot="1">
      <c r="B91" s="363" t="s">
        <v>224</v>
      </c>
      <c r="C91" s="364"/>
      <c r="D91" s="364"/>
      <c r="E91" s="365"/>
    </row>
    <row r="92" spans="2:5" ht="12.75">
      <c r="B92" s="140" t="s">
        <v>285</v>
      </c>
      <c r="C92" s="234">
        <v>239453.25</v>
      </c>
      <c r="D92" s="218">
        <v>263740.56</v>
      </c>
      <c r="E92" s="44">
        <f>D92-C92</f>
        <v>24287.309999999998</v>
      </c>
    </row>
    <row r="93" spans="2:5" ht="13.5" thickBot="1">
      <c r="B93" s="157" t="s">
        <v>637</v>
      </c>
      <c r="C93" s="225">
        <v>131780.15</v>
      </c>
      <c r="D93" s="235">
        <v>145482.7</v>
      </c>
      <c r="E93" s="46">
        <f>D93-C93</f>
        <v>13702.550000000017</v>
      </c>
    </row>
    <row r="94" spans="2:5" ht="13.5" thickBot="1">
      <c r="B94" s="120"/>
      <c r="C94" s="257">
        <f>SUM(C92:C93)</f>
        <v>371233.4</v>
      </c>
      <c r="D94" s="257">
        <f>SUM(D92:D93)</f>
        <v>409223.26</v>
      </c>
      <c r="E94" s="210">
        <f>SUM(E92:E93)</f>
        <v>37989.860000000015</v>
      </c>
    </row>
    <row r="95" spans="2:5" ht="13.5" thickBot="1">
      <c r="B95" s="363" t="s">
        <v>303</v>
      </c>
      <c r="C95" s="364"/>
      <c r="D95" s="364"/>
      <c r="E95" s="365"/>
    </row>
    <row r="96" spans="2:5" ht="12.75">
      <c r="B96" s="140" t="s">
        <v>285</v>
      </c>
      <c r="C96" s="234">
        <v>333155.79</v>
      </c>
      <c r="D96" s="218">
        <v>350094.32</v>
      </c>
      <c r="E96" s="44">
        <f>D96-C96</f>
        <v>16938.530000000028</v>
      </c>
    </row>
    <row r="97" spans="2:5" ht="12.75">
      <c r="B97" s="115" t="s">
        <v>637</v>
      </c>
      <c r="C97" s="10">
        <v>169020.54</v>
      </c>
      <c r="D97" s="99">
        <v>171856.75</v>
      </c>
      <c r="E97" s="45">
        <f>D97-C97</f>
        <v>2836.209999999992</v>
      </c>
    </row>
    <row r="98" spans="2:5" ht="26.25" thickBot="1">
      <c r="B98" s="156" t="s">
        <v>119</v>
      </c>
      <c r="C98" s="142">
        <v>7050</v>
      </c>
      <c r="D98" s="142">
        <v>7050</v>
      </c>
      <c r="E98" s="246">
        <f>D98-C98</f>
        <v>0</v>
      </c>
    </row>
    <row r="99" spans="2:5" ht="13.5" thickBot="1">
      <c r="B99" s="187"/>
      <c r="C99" s="254">
        <f>SUM(C96:C98)</f>
        <v>509226.32999999996</v>
      </c>
      <c r="D99" s="255">
        <f>SUM(D96:D98)</f>
        <v>529001.0700000001</v>
      </c>
      <c r="E99" s="256">
        <f>SUM(E96:E98)</f>
        <v>19774.74000000002</v>
      </c>
    </row>
    <row r="100" spans="2:5" ht="13.5" thickBot="1">
      <c r="B100" s="363" t="s">
        <v>409</v>
      </c>
      <c r="C100" s="364"/>
      <c r="D100" s="364"/>
      <c r="E100" s="365"/>
    </row>
    <row r="101" spans="2:5" ht="12.75">
      <c r="B101" s="140" t="s">
        <v>285</v>
      </c>
      <c r="C101" s="234">
        <v>327038.28</v>
      </c>
      <c r="D101" s="218">
        <v>350094.32</v>
      </c>
      <c r="E101" s="253">
        <f>D101-C101</f>
        <v>23056.03999999998</v>
      </c>
    </row>
    <row r="102" spans="2:5" ht="12.75">
      <c r="B102" s="115" t="s">
        <v>637</v>
      </c>
      <c r="C102" s="10">
        <v>162497.74</v>
      </c>
      <c r="D102" s="99">
        <v>171856.75</v>
      </c>
      <c r="E102" s="53">
        <f>D102-C102</f>
        <v>9359.01000000001</v>
      </c>
    </row>
    <row r="103" spans="2:5" ht="25.5">
      <c r="B103" s="220" t="s">
        <v>119</v>
      </c>
      <c r="C103" s="125">
        <v>4200</v>
      </c>
      <c r="D103" s="125">
        <v>4200</v>
      </c>
      <c r="E103" s="81">
        <f>D103-C103</f>
        <v>0</v>
      </c>
    </row>
    <row r="104" spans="2:5" ht="13.5" thickBot="1">
      <c r="B104" s="157" t="s">
        <v>1200</v>
      </c>
      <c r="C104" s="142">
        <v>28441.97</v>
      </c>
      <c r="D104" s="142">
        <v>28441.97</v>
      </c>
      <c r="E104" s="85">
        <v>0</v>
      </c>
    </row>
    <row r="105" spans="2:5" ht="13.5" thickBot="1">
      <c r="B105" s="324"/>
      <c r="C105" s="119">
        <f>SUM(C101:C104)</f>
        <v>522177.99</v>
      </c>
      <c r="D105" s="119">
        <f>SUM(D101:D104)</f>
        <v>554593.04</v>
      </c>
      <c r="E105" s="119">
        <f>SUM(E101:E104)</f>
        <v>32415.04999999999</v>
      </c>
    </row>
    <row r="106" spans="2:5" ht="13.5" thickBot="1">
      <c r="B106" s="363" t="s">
        <v>976</v>
      </c>
      <c r="C106" s="364"/>
      <c r="D106" s="364"/>
      <c r="E106" s="365"/>
    </row>
    <row r="107" spans="2:5" ht="12.75">
      <c r="B107" s="140" t="s">
        <v>285</v>
      </c>
      <c r="C107" s="141">
        <v>409803.16</v>
      </c>
      <c r="D107" s="155">
        <v>395610.84</v>
      </c>
      <c r="E107" s="253">
        <f aca="true" t="shared" si="1" ref="E107:E112">D107-C107</f>
        <v>-14192.319999999949</v>
      </c>
    </row>
    <row r="108" spans="2:5" ht="12.75">
      <c r="B108" s="115" t="s">
        <v>637</v>
      </c>
      <c r="C108" s="5">
        <v>197774.89</v>
      </c>
      <c r="D108" s="33">
        <v>194402.52</v>
      </c>
      <c r="E108" s="53">
        <f t="shared" si="1"/>
        <v>-3372.3700000000244</v>
      </c>
    </row>
    <row r="109" spans="2:5" ht="12.75">
      <c r="B109" s="278" t="s">
        <v>792</v>
      </c>
      <c r="C109" s="122">
        <v>4050</v>
      </c>
      <c r="D109" s="122">
        <v>4350</v>
      </c>
      <c r="E109" s="81">
        <f t="shared" si="1"/>
        <v>300</v>
      </c>
    </row>
    <row r="110" spans="2:5" ht="12.75">
      <c r="B110" s="278" t="s">
        <v>364</v>
      </c>
      <c r="C110" s="122">
        <v>70330.47</v>
      </c>
      <c r="D110" s="122">
        <v>83700.12</v>
      </c>
      <c r="E110" s="81">
        <f t="shared" si="1"/>
        <v>13369.649999999994</v>
      </c>
    </row>
    <row r="111" spans="2:5" ht="12.75">
      <c r="B111" s="278" t="s">
        <v>113</v>
      </c>
      <c r="C111" s="122">
        <v>5519.68</v>
      </c>
      <c r="D111" s="122">
        <v>6346</v>
      </c>
      <c r="E111" s="81">
        <f t="shared" si="1"/>
        <v>826.3199999999997</v>
      </c>
    </row>
    <row r="112" spans="2:5" ht="13.5" thickBot="1">
      <c r="B112" s="157" t="s">
        <v>1200</v>
      </c>
      <c r="C112" s="229">
        <v>6848.71</v>
      </c>
      <c r="D112" s="229">
        <v>6848.71</v>
      </c>
      <c r="E112" s="85">
        <f t="shared" si="1"/>
        <v>0</v>
      </c>
    </row>
    <row r="113" spans="2:5" ht="13.5" thickBot="1">
      <c r="B113" s="324"/>
      <c r="C113" s="119">
        <f>SUM(C107:C112)</f>
        <v>694326.91</v>
      </c>
      <c r="D113" s="119">
        <f>SUM(D107:D112)</f>
        <v>691258.19</v>
      </c>
      <c r="E113" s="119">
        <f>SUM(E107:E112)</f>
        <v>-3068.7199999999793</v>
      </c>
    </row>
    <row r="114" spans="2:5" ht="13.5" thickBot="1">
      <c r="B114" s="363" t="s">
        <v>87</v>
      </c>
      <c r="C114" s="364"/>
      <c r="D114" s="364"/>
      <c r="E114" s="365"/>
    </row>
    <row r="115" spans="2:5" ht="12.75">
      <c r="B115" s="140" t="s">
        <v>285</v>
      </c>
      <c r="C115" s="234">
        <v>368648.18</v>
      </c>
      <c r="D115" s="218">
        <f>409706.3-43.92</f>
        <v>409662.38</v>
      </c>
      <c r="E115" s="253">
        <f aca="true" t="shared" si="2" ref="E115:E122">D115-C115</f>
        <v>41014.20000000001</v>
      </c>
    </row>
    <row r="116" spans="2:5" ht="12.75">
      <c r="B116" s="115" t="s">
        <v>637</v>
      </c>
      <c r="C116" s="10">
        <v>183228.75</v>
      </c>
      <c r="D116" s="98">
        <v>206100.54</v>
      </c>
      <c r="E116" s="53">
        <f t="shared" si="2"/>
        <v>22871.790000000008</v>
      </c>
    </row>
    <row r="117" spans="2:5" ht="12.75">
      <c r="B117" s="115" t="s">
        <v>364</v>
      </c>
      <c r="C117" s="10">
        <v>48994.48</v>
      </c>
      <c r="D117" s="98">
        <v>46368.36</v>
      </c>
      <c r="E117" s="81">
        <f t="shared" si="2"/>
        <v>-2626.1200000000026</v>
      </c>
    </row>
    <row r="118" spans="2:5" ht="12.75">
      <c r="B118" s="115" t="s">
        <v>633</v>
      </c>
      <c r="C118" s="10">
        <v>6684.72</v>
      </c>
      <c r="D118" s="98">
        <v>9281.88</v>
      </c>
      <c r="E118" s="81">
        <f t="shared" si="2"/>
        <v>2597.159999999999</v>
      </c>
    </row>
    <row r="119" spans="2:5" ht="12.75">
      <c r="B119" s="115" t="s">
        <v>556</v>
      </c>
      <c r="C119" s="10">
        <v>24697</v>
      </c>
      <c r="D119" s="98">
        <v>25492.14</v>
      </c>
      <c r="E119" s="81">
        <f t="shared" si="2"/>
        <v>795.1399999999994</v>
      </c>
    </row>
    <row r="120" spans="2:5" ht="12.75">
      <c r="B120" s="115" t="s">
        <v>573</v>
      </c>
      <c r="C120" s="10">
        <v>3045.68</v>
      </c>
      <c r="D120" s="98">
        <v>3045.68</v>
      </c>
      <c r="E120" s="81">
        <f t="shared" si="2"/>
        <v>0</v>
      </c>
    </row>
    <row r="121" spans="2:5" ht="12.75">
      <c r="B121" s="115" t="s">
        <v>1036</v>
      </c>
      <c r="C121" s="10">
        <v>14472.13</v>
      </c>
      <c r="D121" s="98">
        <v>14472.13</v>
      </c>
      <c r="E121" s="81">
        <f t="shared" si="2"/>
        <v>0</v>
      </c>
    </row>
    <row r="122" spans="2:5" ht="13.5" thickBot="1">
      <c r="B122" s="157" t="s">
        <v>29</v>
      </c>
      <c r="C122" s="225">
        <f>3500+3600</f>
        <v>7100</v>
      </c>
      <c r="D122" s="227">
        <f>4200+3300</f>
        <v>7500</v>
      </c>
      <c r="E122" s="85">
        <f t="shared" si="2"/>
        <v>400</v>
      </c>
    </row>
    <row r="123" spans="2:5" ht="13.5" thickBot="1">
      <c r="B123" s="324"/>
      <c r="C123" s="119">
        <f>SUM(C115:C122)</f>
        <v>656870.94</v>
      </c>
      <c r="D123" s="119">
        <f>SUM(D115:D122)</f>
        <v>721923.1100000001</v>
      </c>
      <c r="E123" s="119">
        <f>SUM(E115:E122)</f>
        <v>65052.17000000001</v>
      </c>
    </row>
    <row r="124" spans="2:5" ht="13.5" thickBot="1">
      <c r="B124" s="366" t="s">
        <v>379</v>
      </c>
      <c r="C124" s="367"/>
      <c r="D124" s="367"/>
      <c r="E124" s="368"/>
    </row>
    <row r="125" spans="2:5" ht="13.5" thickBot="1">
      <c r="B125" s="153"/>
      <c r="C125" s="117">
        <f>C94+C99+C105+C113+C123</f>
        <v>2753835.57</v>
      </c>
      <c r="D125" s="117">
        <f>D94+D99+D105+D113+D123</f>
        <v>2905998.67</v>
      </c>
      <c r="E125" s="117">
        <f>E94+E99+E105+E113+E123</f>
        <v>152163.10000000006</v>
      </c>
    </row>
  </sheetData>
  <sheetProtection/>
  <mergeCells count="23">
    <mergeCell ref="B100:E100"/>
    <mergeCell ref="D84:E84"/>
    <mergeCell ref="D85:E85"/>
    <mergeCell ref="D86:E86"/>
    <mergeCell ref="D87:E87"/>
    <mergeCell ref="B106:E106"/>
    <mergeCell ref="B124:E124"/>
    <mergeCell ref="B114:E114"/>
    <mergeCell ref="D88:E88"/>
    <mergeCell ref="B91:E91"/>
    <mergeCell ref="B95:E95"/>
    <mergeCell ref="A22:D22"/>
    <mergeCell ref="D26:E26"/>
    <mergeCell ref="D80:E80"/>
    <mergeCell ref="D81:E81"/>
    <mergeCell ref="D82:E82"/>
    <mergeCell ref="D83:E83"/>
    <mergeCell ref="A2:B2"/>
    <mergeCell ref="C2:E2"/>
    <mergeCell ref="C3:E3"/>
    <mergeCell ref="B4:E4"/>
    <mergeCell ref="A6:E6"/>
    <mergeCell ref="A21:D2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7.875" style="0" customWidth="1"/>
    <col min="3" max="3" width="10.25390625" style="0" customWidth="1"/>
    <col min="4" max="4" width="12.625" style="0" customWidth="1"/>
    <col min="5" max="5" width="12.3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9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810</v>
      </c>
      <c r="C7" s="26"/>
      <c r="D7" s="24"/>
    </row>
    <row r="8" spans="1:4" ht="15">
      <c r="A8" s="26"/>
      <c r="B8" s="27" t="s">
        <v>115</v>
      </c>
      <c r="C8" s="38">
        <v>4428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501091.41</v>
      </c>
      <c r="D11" s="218">
        <v>517758.23</v>
      </c>
      <c r="E11" s="242">
        <f aca="true" t="shared" si="0" ref="E11:E16">D11-C11</f>
        <v>16666.820000000007</v>
      </c>
    </row>
    <row r="12" spans="1:5" ht="12.75">
      <c r="A12" s="84">
        <v>2</v>
      </c>
      <c r="B12" s="5" t="s">
        <v>637</v>
      </c>
      <c r="C12" s="10">
        <v>248344.68</v>
      </c>
      <c r="D12" s="98">
        <v>257444.52</v>
      </c>
      <c r="E12" s="57">
        <f t="shared" si="0"/>
        <v>9099.839999999997</v>
      </c>
    </row>
    <row r="13" spans="1:5" ht="12.75">
      <c r="A13" s="84">
        <v>3</v>
      </c>
      <c r="B13" s="5" t="s">
        <v>364</v>
      </c>
      <c r="C13" s="10">
        <v>63536.23</v>
      </c>
      <c r="D13" s="98">
        <v>58578.29</v>
      </c>
      <c r="E13" s="57">
        <f t="shared" si="0"/>
        <v>-4957.940000000002</v>
      </c>
    </row>
    <row r="14" spans="1:5" ht="12.75">
      <c r="A14" s="84">
        <v>4</v>
      </c>
      <c r="B14" s="5" t="s">
        <v>633</v>
      </c>
      <c r="C14" s="10">
        <v>10386.3</v>
      </c>
      <c r="D14" s="98">
        <v>12847.62</v>
      </c>
      <c r="E14" s="57">
        <f t="shared" si="0"/>
        <v>2461.3200000000015</v>
      </c>
    </row>
    <row r="15" spans="1:5" ht="12.75">
      <c r="A15" s="84">
        <v>5</v>
      </c>
      <c r="B15" s="5" t="s">
        <v>1036</v>
      </c>
      <c r="C15" s="10">
        <v>11722.7</v>
      </c>
      <c r="D15" s="98">
        <v>11722.7</v>
      </c>
      <c r="E15" s="57">
        <f t="shared" si="0"/>
        <v>0</v>
      </c>
    </row>
    <row r="16" spans="1:5" ht="12.75">
      <c r="A16" s="84">
        <v>6</v>
      </c>
      <c r="B16" s="5" t="s">
        <v>29</v>
      </c>
      <c r="C16" s="10">
        <f>3500+3600</f>
        <v>7100</v>
      </c>
      <c r="D16" s="98">
        <f>4200+3300</f>
        <v>7500</v>
      </c>
      <c r="E16" s="57">
        <f t="shared" si="0"/>
        <v>400</v>
      </c>
    </row>
    <row r="17" spans="1:5" ht="13.5" thickBot="1">
      <c r="A17" s="250"/>
      <c r="B17" s="251"/>
      <c r="C17" s="118">
        <f>SUM(C11:C16)</f>
        <v>842181.32</v>
      </c>
      <c r="D17" s="118">
        <f>SUM(D11:D16)</f>
        <v>865851.36</v>
      </c>
      <c r="E17" s="137">
        <f>SUM(E11:E16)</f>
        <v>23670.04</v>
      </c>
    </row>
    <row r="18" spans="1:5" ht="12.75">
      <c r="A18" s="385" t="s">
        <v>793</v>
      </c>
      <c r="B18" s="386"/>
      <c r="C18" s="386"/>
      <c r="D18" s="386"/>
      <c r="E18" s="108">
        <f>E116</f>
        <v>114829.61999999997</v>
      </c>
    </row>
    <row r="19" spans="1:5" ht="12.75">
      <c r="A19" s="387" t="s">
        <v>794</v>
      </c>
      <c r="B19" s="384"/>
      <c r="C19" s="384"/>
      <c r="D19" s="384"/>
      <c r="E19" s="22">
        <v>55030.26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12.75">
      <c r="A22" s="86">
        <v>1</v>
      </c>
      <c r="B22" s="64" t="s">
        <v>1095</v>
      </c>
      <c r="C22" s="80">
        <f>C58</f>
        <v>278457.97</v>
      </c>
      <c r="E22" s="29"/>
    </row>
    <row r="23" spans="1:5" ht="12.75">
      <c r="A23" s="91">
        <v>2</v>
      </c>
      <c r="B23" s="25" t="s">
        <v>344</v>
      </c>
      <c r="C23" s="102">
        <f>C66</f>
        <v>16335.63</v>
      </c>
      <c r="D23" s="388"/>
      <c r="E23" s="389"/>
    </row>
    <row r="24" spans="1:5" ht="12.75">
      <c r="A24" s="84">
        <v>3</v>
      </c>
      <c r="B24" s="9" t="s">
        <v>649</v>
      </c>
      <c r="C24" s="48">
        <v>12581.02</v>
      </c>
      <c r="E24" s="29"/>
    </row>
    <row r="25" spans="1:5" ht="12.75">
      <c r="A25" s="84">
        <v>4</v>
      </c>
      <c r="B25" s="9" t="s">
        <v>122</v>
      </c>
      <c r="C25" s="48">
        <f>(C8*0.55*12)</f>
        <v>29224.800000000003</v>
      </c>
      <c r="E25" s="29"/>
    </row>
    <row r="26" spans="1:5" ht="12.75">
      <c r="A26" s="84">
        <v>5</v>
      </c>
      <c r="B26" s="9" t="s">
        <v>658</v>
      </c>
      <c r="C26" s="79">
        <v>77552.28</v>
      </c>
      <c r="E26" s="29"/>
    </row>
    <row r="27" spans="1:5" ht="12.75">
      <c r="A27" s="91">
        <v>6</v>
      </c>
      <c r="B27" s="25" t="s">
        <v>61</v>
      </c>
      <c r="C27" s="203">
        <v>2400</v>
      </c>
      <c r="E27" s="29"/>
    </row>
    <row r="28" spans="1:5" ht="12.75">
      <c r="A28" s="91">
        <v>7</v>
      </c>
      <c r="B28" s="346" t="s">
        <v>26</v>
      </c>
      <c r="C28" s="96">
        <v>600</v>
      </c>
      <c r="E28" s="29"/>
    </row>
    <row r="29" spans="1:5" ht="25.5">
      <c r="A29" s="91">
        <v>8</v>
      </c>
      <c r="B29" s="25" t="s">
        <v>60</v>
      </c>
      <c r="C29" s="96">
        <v>10700</v>
      </c>
      <c r="E29" s="29"/>
    </row>
    <row r="30" spans="1:5" ht="38.25">
      <c r="A30" s="91">
        <v>9</v>
      </c>
      <c r="B30" s="25" t="s">
        <v>1033</v>
      </c>
      <c r="C30" s="349">
        <v>2159.11</v>
      </c>
      <c r="E30" s="29"/>
    </row>
    <row r="31" spans="1:3" ht="12.75">
      <c r="A31" s="50"/>
      <c r="B31" s="20" t="s">
        <v>629</v>
      </c>
      <c r="C31" s="51">
        <f>SUM(C22:C30)</f>
        <v>430010.80999999994</v>
      </c>
    </row>
    <row r="32" spans="1:3" ht="12.75">
      <c r="A32" s="49"/>
      <c r="B32" s="8" t="s">
        <v>965</v>
      </c>
      <c r="C32" s="45"/>
    </row>
    <row r="33" spans="1:3" ht="12.75">
      <c r="A33" s="84">
        <v>1</v>
      </c>
      <c r="B33" s="9" t="s">
        <v>228</v>
      </c>
      <c r="C33" s="48">
        <f>(C17)*15%</f>
        <v>126327.19799999999</v>
      </c>
    </row>
    <row r="34" spans="1:3" ht="12.75">
      <c r="A34" s="84">
        <v>2</v>
      </c>
      <c r="B34" s="9" t="s">
        <v>813</v>
      </c>
      <c r="C34" s="48">
        <f>C72</f>
        <v>9590.409501939806</v>
      </c>
    </row>
    <row r="35" spans="1:3" ht="12.75">
      <c r="A35" s="84">
        <v>3</v>
      </c>
      <c r="B35" s="9" t="s">
        <v>653</v>
      </c>
      <c r="C35" s="48">
        <f>C73</f>
        <v>10416.605766953715</v>
      </c>
    </row>
    <row r="36" spans="1:3" ht="12.75">
      <c r="A36" s="84">
        <v>4</v>
      </c>
      <c r="B36" s="9" t="s">
        <v>1114</v>
      </c>
      <c r="C36" s="52">
        <f>C74</f>
        <v>21146.126187485996</v>
      </c>
    </row>
    <row r="37" spans="1:3" ht="12.75">
      <c r="A37" s="84">
        <v>5</v>
      </c>
      <c r="B37" s="9" t="s">
        <v>162</v>
      </c>
      <c r="C37" s="52">
        <f>C75</f>
        <v>15451.193819176375</v>
      </c>
    </row>
    <row r="38" spans="1:3" ht="12.75">
      <c r="A38" s="84">
        <v>6</v>
      </c>
      <c r="B38" s="9" t="s">
        <v>1051</v>
      </c>
      <c r="C38" s="48">
        <f>C76+C78+C79+C80+C77</f>
        <v>26220.610589986976</v>
      </c>
    </row>
    <row r="39" spans="1:3" ht="12.75">
      <c r="A39" s="49"/>
      <c r="B39" s="74" t="s">
        <v>809</v>
      </c>
      <c r="C39" s="53"/>
    </row>
    <row r="40" spans="1:3" ht="12.75">
      <c r="A40" s="49"/>
      <c r="B40" s="5" t="s">
        <v>655</v>
      </c>
      <c r="C40" s="53"/>
    </row>
    <row r="41" spans="1:3" ht="12.75">
      <c r="A41" s="49"/>
      <c r="B41" s="74" t="s">
        <v>656</v>
      </c>
      <c r="C41" s="53"/>
    </row>
    <row r="42" spans="1:3" ht="12.75">
      <c r="A42" s="49"/>
      <c r="B42" s="74" t="s">
        <v>808</v>
      </c>
      <c r="C42" s="53"/>
    </row>
    <row r="43" spans="1:3" ht="12.75">
      <c r="A43" s="50"/>
      <c r="B43" s="20" t="s">
        <v>629</v>
      </c>
      <c r="C43" s="51">
        <f>C33+C34+C35+C36+C37+C38</f>
        <v>209152.14386554286</v>
      </c>
    </row>
    <row r="44" spans="1:3" ht="12.75">
      <c r="A44" s="49"/>
      <c r="B44" s="7" t="s">
        <v>966</v>
      </c>
      <c r="C44" s="45"/>
    </row>
    <row r="45" spans="1:3" ht="12.75">
      <c r="A45" s="84">
        <v>1</v>
      </c>
      <c r="B45" s="9" t="s">
        <v>631</v>
      </c>
      <c r="C45" s="48">
        <f>C17*2%</f>
        <v>16843.6264</v>
      </c>
    </row>
    <row r="46" spans="1:3" ht="12.75">
      <c r="A46" s="84">
        <v>2</v>
      </c>
      <c r="B46" s="9" t="s">
        <v>391</v>
      </c>
      <c r="C46" s="48">
        <f>C47</f>
        <v>49520.261615999996</v>
      </c>
    </row>
    <row r="47" spans="1:4" ht="12.75">
      <c r="A47" s="49"/>
      <c r="B47" s="5" t="s">
        <v>334</v>
      </c>
      <c r="C47" s="41">
        <f>(C17-C45)*6%</f>
        <v>49520.261615999996</v>
      </c>
      <c r="D47" s="19"/>
    </row>
    <row r="48" spans="1:3" ht="13.5" thickBot="1">
      <c r="A48" s="54"/>
      <c r="B48" s="55" t="s">
        <v>967</v>
      </c>
      <c r="C48" s="56">
        <f>C45+C46</f>
        <v>66363.888016</v>
      </c>
    </row>
    <row r="49" spans="1:3" ht="12.75">
      <c r="A49" s="23"/>
      <c r="B49" s="4" t="s">
        <v>288</v>
      </c>
      <c r="C49" s="11">
        <f>C31+C43+C48</f>
        <v>705526.8418815428</v>
      </c>
    </row>
    <row r="50" spans="1:3" ht="12.75">
      <c r="A50" s="23"/>
      <c r="B50" s="77"/>
      <c r="C50" s="1"/>
    </row>
    <row r="51" spans="1:3" ht="15">
      <c r="A51" s="23"/>
      <c r="B51" s="14" t="s">
        <v>812</v>
      </c>
      <c r="C51" s="11">
        <v>551366.6</v>
      </c>
    </row>
    <row r="52" spans="1:3" ht="15">
      <c r="A52" s="23"/>
      <c r="B52" s="14" t="s">
        <v>180</v>
      </c>
      <c r="C52" s="11">
        <f>C49+C51-C17</f>
        <v>414712.12188154284</v>
      </c>
    </row>
    <row r="53" ht="12.75">
      <c r="B53" s="1" t="s">
        <v>85</v>
      </c>
    </row>
    <row r="54" ht="15.75" customHeight="1">
      <c r="B54" s="1" t="s">
        <v>1197</v>
      </c>
    </row>
    <row r="55" spans="1:4" ht="12.75">
      <c r="A55" s="2"/>
      <c r="B55" s="2"/>
      <c r="C55" s="2" t="s">
        <v>790</v>
      </c>
      <c r="D55" s="2"/>
    </row>
    <row r="56" spans="1:4" ht="12.75">
      <c r="A56" s="2"/>
      <c r="B56" s="2"/>
      <c r="C56" s="2" t="s">
        <v>159</v>
      </c>
      <c r="D56" s="2"/>
    </row>
    <row r="57" spans="1:5" ht="13.5" thickBot="1">
      <c r="A57" s="37"/>
      <c r="B57" s="37" t="s">
        <v>969</v>
      </c>
      <c r="C57" s="32" t="s">
        <v>886</v>
      </c>
      <c r="D57" s="114">
        <f>C8</f>
        <v>4428</v>
      </c>
      <c r="E57" t="s">
        <v>116</v>
      </c>
    </row>
    <row r="58" spans="1:5" ht="12.75">
      <c r="A58" s="60" t="s">
        <v>218</v>
      </c>
      <c r="B58" s="39" t="s">
        <v>797</v>
      </c>
      <c r="C58" s="47">
        <v>278457.97</v>
      </c>
      <c r="D58" s="15"/>
      <c r="E58" s="21"/>
    </row>
    <row r="59" spans="1:5" ht="12.75">
      <c r="A59" s="61"/>
      <c r="B59" s="6" t="s">
        <v>118</v>
      </c>
      <c r="C59" s="41"/>
      <c r="D59" s="15"/>
      <c r="E59" s="21"/>
    </row>
    <row r="60" spans="1:5" ht="12.75">
      <c r="A60" s="62" t="s">
        <v>166</v>
      </c>
      <c r="B60" s="6" t="s">
        <v>380</v>
      </c>
      <c r="C60" s="41">
        <v>28734.39</v>
      </c>
      <c r="D60" s="15"/>
      <c r="E60" s="15"/>
    </row>
    <row r="61" spans="1:5" ht="12.75">
      <c r="A61" s="62" t="s">
        <v>166</v>
      </c>
      <c r="B61" s="6" t="s">
        <v>341</v>
      </c>
      <c r="C61" s="41">
        <v>9301.65</v>
      </c>
      <c r="D61" s="15"/>
      <c r="E61" s="15"/>
    </row>
    <row r="62" spans="1:5" ht="12.75">
      <c r="A62" s="62" t="s">
        <v>166</v>
      </c>
      <c r="B62" s="6" t="s">
        <v>974</v>
      </c>
      <c r="C62" s="41">
        <v>4000</v>
      </c>
      <c r="D62" s="15"/>
      <c r="E62" s="15"/>
    </row>
    <row r="63" spans="1:5" ht="12.75">
      <c r="A63" s="62" t="s">
        <v>166</v>
      </c>
      <c r="B63" s="6" t="s">
        <v>276</v>
      </c>
      <c r="C63" s="41">
        <v>6000</v>
      </c>
      <c r="D63" s="15"/>
      <c r="E63" s="15"/>
    </row>
    <row r="64" spans="1:5" ht="12.75">
      <c r="A64" s="62" t="s">
        <v>166</v>
      </c>
      <c r="B64" s="6" t="s">
        <v>1034</v>
      </c>
      <c r="C64" s="41">
        <v>11400</v>
      </c>
      <c r="D64" s="15"/>
      <c r="E64" s="15"/>
    </row>
    <row r="65" spans="1:5" ht="13.5" thickBot="1">
      <c r="A65" s="63" t="s">
        <v>166</v>
      </c>
      <c r="B65" s="42" t="s">
        <v>818</v>
      </c>
      <c r="C65" s="46">
        <v>6557.3</v>
      </c>
      <c r="D65" s="15"/>
      <c r="E65" s="15"/>
    </row>
    <row r="66" spans="1:5" ht="12.75">
      <c r="A66" s="60" t="s">
        <v>328</v>
      </c>
      <c r="B66" s="39" t="s">
        <v>343</v>
      </c>
      <c r="C66" s="47">
        <v>16335.63</v>
      </c>
      <c r="D66" s="15"/>
      <c r="E66" s="12"/>
    </row>
    <row r="67" spans="1:5" ht="12.75">
      <c r="A67" s="61"/>
      <c r="B67" s="6" t="s">
        <v>118</v>
      </c>
      <c r="C67" s="41"/>
      <c r="D67" s="15"/>
      <c r="E67" s="12"/>
    </row>
    <row r="68" spans="1:5" ht="12.75">
      <c r="A68" s="62" t="s">
        <v>166</v>
      </c>
      <c r="B68" s="6" t="s">
        <v>380</v>
      </c>
      <c r="C68" s="41">
        <v>947</v>
      </c>
      <c r="D68" s="15"/>
      <c r="E68" s="12"/>
    </row>
    <row r="69" spans="1:5" ht="13.5" thickBot="1">
      <c r="A69" s="63" t="s">
        <v>166</v>
      </c>
      <c r="B69" s="42" t="s">
        <v>818</v>
      </c>
      <c r="C69" s="46">
        <v>253.19</v>
      </c>
      <c r="D69" s="15"/>
      <c r="E69" s="15"/>
    </row>
    <row r="70" spans="1:5" ht="12.75">
      <c r="A70" s="300" t="s">
        <v>787</v>
      </c>
      <c r="B70" s="97" t="s">
        <v>1050</v>
      </c>
      <c r="C70" s="82">
        <f>C71+C72+C74+C73+C75+C76+C78+C79+C80+C77</f>
        <v>209152.1438655429</v>
      </c>
      <c r="D70" s="15"/>
      <c r="E70" s="12"/>
    </row>
    <row r="71" spans="1:5" ht="13.5" thickBot="1">
      <c r="A71" s="40" t="s">
        <v>166</v>
      </c>
      <c r="B71" s="6" t="s">
        <v>227</v>
      </c>
      <c r="C71" s="41">
        <f>C33</f>
        <v>126327.19799999999</v>
      </c>
      <c r="D71" s="15"/>
      <c r="E71" s="12"/>
    </row>
    <row r="72" spans="1:5" ht="12.75">
      <c r="A72" s="40" t="s">
        <v>166</v>
      </c>
      <c r="B72" s="6" t="s">
        <v>370</v>
      </c>
      <c r="C72" s="317">
        <f>401410.25/185335.63*C8</f>
        <v>9590.409501939806</v>
      </c>
      <c r="D72" s="375" t="s">
        <v>1023</v>
      </c>
      <c r="E72" s="376"/>
    </row>
    <row r="73" spans="1:5" ht="12.75">
      <c r="A73" s="73" t="s">
        <v>166</v>
      </c>
      <c r="B73" s="74" t="s">
        <v>397</v>
      </c>
      <c r="C73" s="317">
        <f>435991.01/185335.63*C8</f>
        <v>10416.605766953715</v>
      </c>
      <c r="D73" s="377" t="s">
        <v>1024</v>
      </c>
      <c r="E73" s="378"/>
    </row>
    <row r="74" spans="1:5" ht="12.75">
      <c r="A74" s="71" t="s">
        <v>166</v>
      </c>
      <c r="B74" s="72" t="s">
        <v>416</v>
      </c>
      <c r="C74" s="317">
        <f>1082167/226605.83*C8</f>
        <v>21146.126187485996</v>
      </c>
      <c r="D74" s="379" t="s">
        <v>1025</v>
      </c>
      <c r="E74" s="380"/>
    </row>
    <row r="75" spans="1:5" ht="25.5">
      <c r="A75" s="73" t="s">
        <v>166</v>
      </c>
      <c r="B75" s="72" t="s">
        <v>231</v>
      </c>
      <c r="C75" s="318">
        <f>845684.35/242356.05*D57</f>
        <v>15451.193819176375</v>
      </c>
      <c r="D75" s="381" t="s">
        <v>1026</v>
      </c>
      <c r="E75" s="382"/>
    </row>
    <row r="76" spans="1:5" ht="12.75">
      <c r="A76" s="73" t="s">
        <v>166</v>
      </c>
      <c r="B76" s="74" t="s">
        <v>808</v>
      </c>
      <c r="C76" s="318">
        <f>642562.44/242356.05*D57</f>
        <v>11740.026643939773</v>
      </c>
      <c r="D76" s="371" t="s">
        <v>1027</v>
      </c>
      <c r="E76" s="372"/>
    </row>
    <row r="77" spans="1:5" ht="12.75">
      <c r="A77" s="73" t="s">
        <v>166</v>
      </c>
      <c r="B77" s="74" t="s">
        <v>826</v>
      </c>
      <c r="C77" s="318">
        <f>51615/196822.43*D57</f>
        <v>1161.2051532947744</v>
      </c>
      <c r="D77" s="371" t="s">
        <v>1028</v>
      </c>
      <c r="E77" s="372"/>
    </row>
    <row r="78" spans="1:5" ht="12.75">
      <c r="A78" s="73" t="s">
        <v>166</v>
      </c>
      <c r="B78" s="74" t="s">
        <v>655</v>
      </c>
      <c r="C78" s="318">
        <f>129011.28/196822.43*D57</f>
        <v>2902.4230004679853</v>
      </c>
      <c r="D78" s="371" t="s">
        <v>1029</v>
      </c>
      <c r="E78" s="372"/>
    </row>
    <row r="79" spans="1:5" ht="12.75">
      <c r="A79" s="73" t="s">
        <v>166</v>
      </c>
      <c r="B79" s="74" t="s">
        <v>656</v>
      </c>
      <c r="C79" s="318">
        <f>164128/196822.43*D57</f>
        <v>3692.4591572210543</v>
      </c>
      <c r="D79" s="373" t="s">
        <v>1030</v>
      </c>
      <c r="E79" s="374"/>
    </row>
    <row r="80" spans="1:5" ht="13.5" thickBot="1">
      <c r="A80" s="75" t="s">
        <v>166</v>
      </c>
      <c r="B80" s="76" t="s">
        <v>809</v>
      </c>
      <c r="C80" s="319">
        <f>298900.58/196822.43*D57</f>
        <v>6724.496635063392</v>
      </c>
      <c r="D80" s="369" t="s">
        <v>1031</v>
      </c>
      <c r="E80" s="370"/>
    </row>
    <row r="81" ht="13.5" thickBot="1"/>
    <row r="82" spans="2:5" ht="24.75" thickBot="1">
      <c r="B82" s="143"/>
      <c r="C82" s="205" t="s">
        <v>104</v>
      </c>
      <c r="D82" s="236" t="s">
        <v>306</v>
      </c>
      <c r="E82" s="130" t="s">
        <v>305</v>
      </c>
    </row>
    <row r="83" spans="2:5" ht="13.5" thickBot="1">
      <c r="B83" s="363" t="s">
        <v>224</v>
      </c>
      <c r="C83" s="364"/>
      <c r="D83" s="364"/>
      <c r="E83" s="365"/>
    </row>
    <row r="84" spans="2:5" ht="12.75">
      <c r="B84" s="140" t="s">
        <v>285</v>
      </c>
      <c r="C84" s="234">
        <v>313811.66</v>
      </c>
      <c r="D84" s="218">
        <v>329458.08</v>
      </c>
      <c r="E84" s="44">
        <f>D84-C84</f>
        <v>15646.420000000042</v>
      </c>
    </row>
    <row r="85" spans="2:5" ht="12.75">
      <c r="B85" s="115" t="s">
        <v>637</v>
      </c>
      <c r="C85" s="10">
        <v>174337.02</v>
      </c>
      <c r="D85" s="99">
        <v>181733.33</v>
      </c>
      <c r="E85" s="45">
        <f>D85-C85</f>
        <v>7396.309999999998</v>
      </c>
    </row>
    <row r="86" spans="2:5" ht="13.5" thickBot="1">
      <c r="B86" s="157" t="s">
        <v>791</v>
      </c>
      <c r="C86" s="225">
        <v>3912.28</v>
      </c>
      <c r="D86" s="235">
        <v>3912.28</v>
      </c>
      <c r="E86" s="46">
        <f>D86-C86</f>
        <v>0</v>
      </c>
    </row>
    <row r="87" spans="2:5" ht="13.5" thickBot="1">
      <c r="B87" s="124"/>
      <c r="C87" s="252">
        <f>SUM(C84:C86)</f>
        <v>492060.95999999996</v>
      </c>
      <c r="D87" s="252">
        <f>SUM(D84:D86)</f>
        <v>515103.69000000006</v>
      </c>
      <c r="E87" s="119">
        <f>SUM(E84:E86)</f>
        <v>23042.73000000004</v>
      </c>
    </row>
    <row r="88" spans="2:5" ht="13.5" thickBot="1">
      <c r="B88" s="363" t="s">
        <v>303</v>
      </c>
      <c r="C88" s="364"/>
      <c r="D88" s="364"/>
      <c r="E88" s="365"/>
    </row>
    <row r="89" spans="2:5" ht="12.75">
      <c r="B89" s="140" t="s">
        <v>285</v>
      </c>
      <c r="C89" s="234">
        <v>419021.82</v>
      </c>
      <c r="D89" s="218">
        <v>437325.74</v>
      </c>
      <c r="E89" s="44">
        <f>D89-C89</f>
        <v>18303.919999999984</v>
      </c>
    </row>
    <row r="90" spans="2:5" ht="12.75">
      <c r="B90" s="115" t="s">
        <v>637</v>
      </c>
      <c r="C90" s="10">
        <v>204575.76</v>
      </c>
      <c r="D90" s="99">
        <v>214677.52</v>
      </c>
      <c r="E90" s="45">
        <f>D90-C90</f>
        <v>10101.75999999998</v>
      </c>
    </row>
    <row r="91" spans="2:5" ht="26.25" thickBot="1">
      <c r="B91" s="156" t="s">
        <v>119</v>
      </c>
      <c r="C91" s="142">
        <v>5650</v>
      </c>
      <c r="D91" s="142">
        <v>5650</v>
      </c>
      <c r="E91" s="246">
        <f>D91-C91</f>
        <v>0</v>
      </c>
    </row>
    <row r="92" spans="2:5" ht="13.5" thickBot="1">
      <c r="B92" s="187"/>
      <c r="C92" s="254">
        <f>SUM(C89:C91)</f>
        <v>629247.5800000001</v>
      </c>
      <c r="D92" s="255">
        <f>SUM(D89:D91)</f>
        <v>657653.26</v>
      </c>
      <c r="E92" s="256">
        <f>SUM(E89:E91)</f>
        <v>28405.679999999964</v>
      </c>
    </row>
    <row r="93" spans="2:5" ht="13.5" thickBot="1">
      <c r="B93" s="363" t="s">
        <v>409</v>
      </c>
      <c r="C93" s="364"/>
      <c r="D93" s="364"/>
      <c r="E93" s="422"/>
    </row>
    <row r="94" spans="2:5" ht="12.75">
      <c r="B94" s="140" t="s">
        <v>285</v>
      </c>
      <c r="C94" s="234">
        <v>420214.47</v>
      </c>
      <c r="D94" s="218">
        <v>437315.04</v>
      </c>
      <c r="E94" s="253">
        <f>D94-C94</f>
        <v>17100.570000000007</v>
      </c>
    </row>
    <row r="95" spans="2:5" ht="12.75">
      <c r="B95" s="115" t="s">
        <v>637</v>
      </c>
      <c r="C95" s="10">
        <v>207878.46</v>
      </c>
      <c r="D95" s="99">
        <v>214672.27</v>
      </c>
      <c r="E95" s="53">
        <f>D95-C95</f>
        <v>6793.809999999998</v>
      </c>
    </row>
    <row r="96" spans="2:5" ht="25.5">
      <c r="B96" s="220" t="s">
        <v>211</v>
      </c>
      <c r="C96" s="347">
        <v>4200</v>
      </c>
      <c r="D96" s="347">
        <v>4200</v>
      </c>
      <c r="E96" s="53">
        <f>D96-C96</f>
        <v>0</v>
      </c>
    </row>
    <row r="97" spans="2:5" ht="13.5" thickBot="1">
      <c r="B97" s="157" t="s">
        <v>169</v>
      </c>
      <c r="C97" s="142">
        <v>17523.91</v>
      </c>
      <c r="D97" s="142">
        <v>17523.91</v>
      </c>
      <c r="E97" s="262">
        <f>D97-C97</f>
        <v>0</v>
      </c>
    </row>
    <row r="98" spans="2:5" ht="13.5" thickBot="1">
      <c r="B98" s="187"/>
      <c r="C98" s="254">
        <f>SUM(C94:C97)</f>
        <v>649816.84</v>
      </c>
      <c r="D98" s="255">
        <f>SUM(D94:D97)</f>
        <v>673711.22</v>
      </c>
      <c r="E98" s="256">
        <f>SUM(E94:E97)</f>
        <v>23894.380000000005</v>
      </c>
    </row>
    <row r="99" spans="2:5" ht="13.5" thickBot="1">
      <c r="B99" s="418" t="s">
        <v>976</v>
      </c>
      <c r="C99" s="419"/>
      <c r="D99" s="419"/>
      <c r="E99" s="420"/>
    </row>
    <row r="100" spans="2:5" ht="12.75">
      <c r="B100" s="140" t="s">
        <v>285</v>
      </c>
      <c r="C100" s="141">
        <v>488501.32</v>
      </c>
      <c r="D100" s="155">
        <v>492507.41</v>
      </c>
      <c r="E100" s="242">
        <f aca="true" t="shared" si="1" ref="E100:E105">D100-C100</f>
        <v>4006.0899999999674</v>
      </c>
    </row>
    <row r="101" spans="2:5" ht="12.75">
      <c r="B101" s="115" t="s">
        <v>637</v>
      </c>
      <c r="C101" s="5">
        <v>239918.68</v>
      </c>
      <c r="D101" s="33">
        <v>242832.24</v>
      </c>
      <c r="E101" s="57">
        <f t="shared" si="1"/>
        <v>2913.5599999999977</v>
      </c>
    </row>
    <row r="102" spans="2:5" ht="12.75">
      <c r="B102" s="115" t="s">
        <v>633</v>
      </c>
      <c r="C102" s="65">
        <v>3147.5</v>
      </c>
      <c r="D102" s="70">
        <v>1734.26</v>
      </c>
      <c r="E102" s="57">
        <f t="shared" si="1"/>
        <v>-1413.24</v>
      </c>
    </row>
    <row r="103" spans="2:5" ht="12.75">
      <c r="B103" s="278" t="s">
        <v>792</v>
      </c>
      <c r="C103" s="122">
        <v>4050</v>
      </c>
      <c r="D103" s="122">
        <v>4350</v>
      </c>
      <c r="E103" s="128">
        <f t="shared" si="1"/>
        <v>300</v>
      </c>
    </row>
    <row r="104" spans="2:5" ht="12.75">
      <c r="B104" s="278" t="s">
        <v>364</v>
      </c>
      <c r="C104" s="122">
        <v>85573.29</v>
      </c>
      <c r="D104" s="122">
        <v>95583.67</v>
      </c>
      <c r="E104" s="128">
        <f t="shared" si="1"/>
        <v>10010.380000000005</v>
      </c>
    </row>
    <row r="105" spans="2:5" ht="13.5" thickBot="1">
      <c r="B105" s="157" t="s">
        <v>1200</v>
      </c>
      <c r="C105" s="229">
        <v>10477.7</v>
      </c>
      <c r="D105" s="229">
        <v>10477.7</v>
      </c>
      <c r="E105" s="222">
        <f t="shared" si="1"/>
        <v>0</v>
      </c>
    </row>
    <row r="106" spans="2:5" ht="13.5" thickBot="1">
      <c r="B106" s="187"/>
      <c r="C106" s="254">
        <f>SUM(C100:C105)</f>
        <v>831668.49</v>
      </c>
      <c r="D106" s="255">
        <f>SUM(D100:D105)</f>
        <v>847485.2799999999</v>
      </c>
      <c r="E106" s="256">
        <f>SUM(E100:E105)</f>
        <v>15816.78999999997</v>
      </c>
    </row>
    <row r="107" spans="2:5" ht="13.5" thickBot="1">
      <c r="B107" s="418" t="s">
        <v>87</v>
      </c>
      <c r="C107" s="419"/>
      <c r="D107" s="419"/>
      <c r="E107" s="420"/>
    </row>
    <row r="108" spans="2:5" ht="12.75">
      <c r="B108" s="140" t="s">
        <v>285</v>
      </c>
      <c r="C108" s="234">
        <v>501091.41</v>
      </c>
      <c r="D108" s="218">
        <v>517758.23</v>
      </c>
      <c r="E108" s="242">
        <f aca="true" t="shared" si="2" ref="E108:E113">D108-C108</f>
        <v>16666.820000000007</v>
      </c>
    </row>
    <row r="109" spans="2:5" ht="12.75">
      <c r="B109" s="115" t="s">
        <v>637</v>
      </c>
      <c r="C109" s="10">
        <v>248344.68</v>
      </c>
      <c r="D109" s="98">
        <v>257444.52</v>
      </c>
      <c r="E109" s="57">
        <f t="shared" si="2"/>
        <v>9099.839999999997</v>
      </c>
    </row>
    <row r="110" spans="2:5" ht="12.75">
      <c r="B110" s="115" t="s">
        <v>364</v>
      </c>
      <c r="C110" s="10">
        <v>63536.23</v>
      </c>
      <c r="D110" s="98">
        <v>58578.29</v>
      </c>
      <c r="E110" s="57">
        <f t="shared" si="2"/>
        <v>-4957.940000000002</v>
      </c>
    </row>
    <row r="111" spans="2:5" ht="12.75">
      <c r="B111" s="115" t="s">
        <v>633</v>
      </c>
      <c r="C111" s="10">
        <v>10386.3</v>
      </c>
      <c r="D111" s="98">
        <v>12847.62</v>
      </c>
      <c r="E111" s="128">
        <f t="shared" si="2"/>
        <v>2461.3200000000015</v>
      </c>
    </row>
    <row r="112" spans="2:5" ht="12.75">
      <c r="B112" s="115" t="s">
        <v>1032</v>
      </c>
      <c r="C112" s="10">
        <v>11722.7</v>
      </c>
      <c r="D112" s="98">
        <v>11722.7</v>
      </c>
      <c r="E112" s="128">
        <f t="shared" si="2"/>
        <v>0</v>
      </c>
    </row>
    <row r="113" spans="2:5" ht="13.5" thickBot="1">
      <c r="B113" s="157" t="s">
        <v>29</v>
      </c>
      <c r="C113" s="225">
        <f>3500+3600</f>
        <v>7100</v>
      </c>
      <c r="D113" s="227">
        <f>4200+3300</f>
        <v>7500</v>
      </c>
      <c r="E113" s="222">
        <f t="shared" si="2"/>
        <v>400</v>
      </c>
    </row>
    <row r="114" spans="2:5" ht="13.5" thickBot="1">
      <c r="B114" s="187"/>
      <c r="C114" s="254">
        <f>SUM(C108:C113)</f>
        <v>842181.32</v>
      </c>
      <c r="D114" s="255">
        <f>SUM(D108:D113)</f>
        <v>865851.36</v>
      </c>
      <c r="E114" s="256">
        <f>SUM(E108:E113)</f>
        <v>23670.04</v>
      </c>
    </row>
    <row r="115" spans="2:5" ht="13.5" thickBot="1">
      <c r="B115" s="366" t="s">
        <v>379</v>
      </c>
      <c r="C115" s="367"/>
      <c r="D115" s="367"/>
      <c r="E115" s="368"/>
    </row>
    <row r="116" spans="2:5" ht="13.5" thickBot="1">
      <c r="B116" s="153"/>
      <c r="C116" s="117">
        <f>C87+C92+C98+C106+C114</f>
        <v>3444975.19</v>
      </c>
      <c r="D116" s="117">
        <f>D87+D92+D98+D106+D114</f>
        <v>3559804.81</v>
      </c>
      <c r="E116" s="117">
        <f>E87+E92+E98+E106+E114</f>
        <v>114829.61999999997</v>
      </c>
    </row>
  </sheetData>
  <sheetProtection/>
  <mergeCells count="23">
    <mergeCell ref="A6:E6"/>
    <mergeCell ref="A18:D18"/>
    <mergeCell ref="A19:D19"/>
    <mergeCell ref="D23:E23"/>
    <mergeCell ref="A2:B2"/>
    <mergeCell ref="C2:E2"/>
    <mergeCell ref="C3:E3"/>
    <mergeCell ref="B4:E4"/>
    <mergeCell ref="D76:E76"/>
    <mergeCell ref="D77:E77"/>
    <mergeCell ref="D78:E78"/>
    <mergeCell ref="D79:E79"/>
    <mergeCell ref="D72:E72"/>
    <mergeCell ref="D73:E73"/>
    <mergeCell ref="D74:E74"/>
    <mergeCell ref="D75:E75"/>
    <mergeCell ref="B99:E99"/>
    <mergeCell ref="B115:E115"/>
    <mergeCell ref="B107:E107"/>
    <mergeCell ref="D80:E80"/>
    <mergeCell ref="B83:E83"/>
    <mergeCell ref="B88:E88"/>
    <mergeCell ref="B93:E93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875" style="0" customWidth="1"/>
    <col min="2" max="2" width="56.75390625" style="0" customWidth="1"/>
    <col min="3" max="3" width="12.625" style="0" customWidth="1"/>
    <col min="4" max="4" width="12.25390625" style="0" customWidth="1"/>
    <col min="5" max="5" width="12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6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398</v>
      </c>
      <c r="C7" s="26"/>
      <c r="D7" s="24"/>
    </row>
    <row r="8" spans="1:4" ht="15">
      <c r="A8" s="26"/>
      <c r="B8" s="27" t="s">
        <v>115</v>
      </c>
      <c r="C8" s="38">
        <v>1304</v>
      </c>
      <c r="D8" s="92" t="s">
        <v>116</v>
      </c>
    </row>
    <row r="9" spans="1:4" ht="15">
      <c r="A9" s="26"/>
      <c r="B9" s="27" t="s">
        <v>654</v>
      </c>
      <c r="C9" s="93">
        <v>179.1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157237.16</v>
      </c>
      <c r="D12" s="155">
        <v>160767.53</v>
      </c>
      <c r="E12" s="242">
        <f aca="true" t="shared" si="0" ref="E12:E19">D12-C12</f>
        <v>3530.3699999999953</v>
      </c>
    </row>
    <row r="13" spans="1:5" ht="12.75">
      <c r="A13" s="84">
        <v>2</v>
      </c>
      <c r="B13" s="5" t="s">
        <v>637</v>
      </c>
      <c r="C13" s="10">
        <v>74765.49</v>
      </c>
      <c r="D13" s="34">
        <v>79257.42</v>
      </c>
      <c r="E13" s="57">
        <f t="shared" si="0"/>
        <v>4491.929999999993</v>
      </c>
    </row>
    <row r="14" spans="1:5" ht="12.75">
      <c r="A14" s="87">
        <v>3</v>
      </c>
      <c r="B14" s="5" t="s">
        <v>633</v>
      </c>
      <c r="C14" s="67">
        <v>28008.19</v>
      </c>
      <c r="D14" s="83">
        <v>28166.4</v>
      </c>
      <c r="E14" s="57">
        <f t="shared" si="0"/>
        <v>158.21000000000276</v>
      </c>
    </row>
    <row r="15" spans="1:5" ht="12.75">
      <c r="A15" s="84">
        <v>4</v>
      </c>
      <c r="B15" s="65" t="s">
        <v>364</v>
      </c>
      <c r="C15" s="94">
        <v>56871.88</v>
      </c>
      <c r="D15" s="83">
        <v>57476.73</v>
      </c>
      <c r="E15" s="57">
        <f t="shared" si="0"/>
        <v>604.8500000000058</v>
      </c>
    </row>
    <row r="16" spans="1:5" ht="12.75" customHeight="1">
      <c r="A16" s="87">
        <v>5</v>
      </c>
      <c r="B16" s="351" t="s">
        <v>1007</v>
      </c>
      <c r="C16" s="258">
        <v>6972.81</v>
      </c>
      <c r="D16" s="258">
        <v>6972.81</v>
      </c>
      <c r="E16" s="66">
        <f t="shared" si="0"/>
        <v>0</v>
      </c>
    </row>
    <row r="17" spans="1:5" ht="12.75">
      <c r="A17" s="84">
        <v>6</v>
      </c>
      <c r="B17" s="65" t="s">
        <v>29</v>
      </c>
      <c r="C17" s="94">
        <f>2400+3600</f>
        <v>6000</v>
      </c>
      <c r="D17" s="83">
        <f>2400+3300</f>
        <v>5700</v>
      </c>
      <c r="E17" s="57">
        <f t="shared" si="0"/>
        <v>-300</v>
      </c>
    </row>
    <row r="18" spans="1:5" ht="12.75">
      <c r="A18" s="84">
        <v>7</v>
      </c>
      <c r="B18" s="105" t="s">
        <v>415</v>
      </c>
      <c r="C18" s="122">
        <v>16583.13</v>
      </c>
      <c r="D18" s="122">
        <v>16723.58</v>
      </c>
      <c r="E18" s="66">
        <f t="shared" si="0"/>
        <v>140.45000000000073</v>
      </c>
    </row>
    <row r="19" spans="1:5" ht="13.5" thickBot="1">
      <c r="A19" s="87">
        <v>8</v>
      </c>
      <c r="B19" s="5" t="s">
        <v>805</v>
      </c>
      <c r="C19" s="67">
        <f>6274.63+35082.39+6616.55</f>
        <v>47973.57</v>
      </c>
      <c r="D19" s="83">
        <f>6274.63+23943.24+6616.55</f>
        <v>36834.420000000006</v>
      </c>
      <c r="E19" s="57">
        <f t="shared" si="0"/>
        <v>-11139.149999999994</v>
      </c>
    </row>
    <row r="20" spans="1:5" ht="13.5" thickBot="1">
      <c r="A20" s="208"/>
      <c r="B20" s="209"/>
      <c r="C20" s="135">
        <f>SUM(C12:C19)</f>
        <v>394412.23000000004</v>
      </c>
      <c r="D20" s="135">
        <f>SUM(D12:D19)</f>
        <v>391898.89</v>
      </c>
      <c r="E20" s="136">
        <f>SUM(E12:E19)</f>
        <v>-2513.3399999999965</v>
      </c>
    </row>
    <row r="21" spans="1:5" ht="12.75">
      <c r="A21" s="385" t="s">
        <v>793</v>
      </c>
      <c r="B21" s="386"/>
      <c r="C21" s="386"/>
      <c r="D21" s="386"/>
      <c r="E21" s="108">
        <f>E144</f>
        <v>24667.219999999954</v>
      </c>
    </row>
    <row r="22" spans="1:5" ht="12.75">
      <c r="A22" s="387" t="s">
        <v>794</v>
      </c>
      <c r="B22" s="384"/>
      <c r="C22" s="384"/>
      <c r="D22" s="384"/>
      <c r="E22" s="22">
        <v>243459.34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25.5">
      <c r="A25" s="86">
        <v>1</v>
      </c>
      <c r="B25" s="64" t="s">
        <v>1177</v>
      </c>
      <c r="C25" s="80">
        <f>C65</f>
        <v>193683.76</v>
      </c>
      <c r="E25" s="29"/>
    </row>
    <row r="26" spans="1:5" ht="12.75">
      <c r="A26" s="91">
        <v>2</v>
      </c>
      <c r="B26" s="25" t="s">
        <v>344</v>
      </c>
      <c r="C26" s="102">
        <f>C71</f>
        <v>10436.81</v>
      </c>
      <c r="D26" s="388"/>
      <c r="E26" s="389"/>
    </row>
    <row r="27" spans="1:5" ht="12.75">
      <c r="A27" s="84">
        <v>3</v>
      </c>
      <c r="B27" s="9" t="s">
        <v>649</v>
      </c>
      <c r="C27" s="48">
        <v>4939.98</v>
      </c>
      <c r="E27" s="29"/>
    </row>
    <row r="28" spans="1:5" ht="12.75">
      <c r="A28" s="84">
        <v>4</v>
      </c>
      <c r="B28" s="9" t="s">
        <v>122</v>
      </c>
      <c r="C28" s="48">
        <f>(C8*0.55*12)</f>
        <v>8606.400000000001</v>
      </c>
      <c r="E28" s="29"/>
    </row>
    <row r="29" spans="1:5" ht="12.75">
      <c r="A29" s="84">
        <v>5</v>
      </c>
      <c r="B29" s="9" t="s">
        <v>658</v>
      </c>
      <c r="C29" s="79">
        <v>29391.96</v>
      </c>
      <c r="E29" s="29"/>
    </row>
    <row r="30" spans="1:5" ht="25.5">
      <c r="A30" s="91">
        <v>6</v>
      </c>
      <c r="B30" s="25" t="s">
        <v>1128</v>
      </c>
      <c r="C30" s="96">
        <v>2400</v>
      </c>
      <c r="E30" s="29"/>
    </row>
    <row r="31" spans="1:5" ht="12.75">
      <c r="A31" s="91">
        <v>7</v>
      </c>
      <c r="B31" s="346" t="s">
        <v>26</v>
      </c>
      <c r="C31" s="96">
        <v>600</v>
      </c>
      <c r="E31" s="29"/>
    </row>
    <row r="32" spans="1:5" ht="25.5">
      <c r="A32" s="91">
        <v>8</v>
      </c>
      <c r="B32" s="25" t="s">
        <v>335</v>
      </c>
      <c r="C32" s="96">
        <v>4200</v>
      </c>
      <c r="E32" s="29"/>
    </row>
    <row r="33" spans="1:5" ht="25.5">
      <c r="A33" s="91">
        <v>9</v>
      </c>
      <c r="B33" s="25" t="s">
        <v>327</v>
      </c>
      <c r="C33" s="79">
        <v>2714.32</v>
      </c>
      <c r="E33" s="29"/>
    </row>
    <row r="34" spans="1:5" ht="12.75">
      <c r="A34" s="84">
        <v>10</v>
      </c>
      <c r="B34" s="25" t="s">
        <v>1175</v>
      </c>
      <c r="C34" s="79">
        <v>3096.02</v>
      </c>
      <c r="E34" s="29"/>
    </row>
    <row r="35" spans="1:5" ht="12.75">
      <c r="A35" s="91">
        <v>11</v>
      </c>
      <c r="B35" s="25" t="s">
        <v>1176</v>
      </c>
      <c r="C35" s="96">
        <v>19420.44</v>
      </c>
      <c r="E35" s="29"/>
    </row>
    <row r="36" spans="1:5" ht="12.75">
      <c r="A36" s="91">
        <v>12</v>
      </c>
      <c r="B36" s="25" t="s">
        <v>363</v>
      </c>
      <c r="C36" s="349">
        <v>407.52</v>
      </c>
      <c r="E36" s="29"/>
    </row>
    <row r="37" spans="1:3" ht="12.75">
      <c r="A37" s="50"/>
      <c r="B37" s="20" t="s">
        <v>629</v>
      </c>
      <c r="C37" s="51">
        <f>SUM(C25:C36)</f>
        <v>279897.21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(C20)*15%</f>
        <v>59161.834500000004</v>
      </c>
    </row>
    <row r="40" spans="1:3" ht="12.75">
      <c r="A40" s="84">
        <v>2</v>
      </c>
      <c r="B40" s="9" t="s">
        <v>813</v>
      </c>
      <c r="C40" s="48">
        <f>C77</f>
        <v>2824.27596895427</v>
      </c>
    </row>
    <row r="41" spans="1:3" ht="12.75">
      <c r="A41" s="84">
        <v>3</v>
      </c>
      <c r="B41" s="9" t="s">
        <v>653</v>
      </c>
      <c r="C41" s="48">
        <f>C78</f>
        <v>3067.5821861128375</v>
      </c>
    </row>
    <row r="42" spans="1:3" ht="12.75">
      <c r="A42" s="84">
        <v>4</v>
      </c>
      <c r="B42" s="9" t="s">
        <v>1114</v>
      </c>
      <c r="C42" s="52">
        <f>C79</f>
        <v>6227.31448701033</v>
      </c>
    </row>
    <row r="43" spans="1:3" ht="12.75">
      <c r="A43" s="84">
        <v>5</v>
      </c>
      <c r="B43" s="9" t="s">
        <v>162</v>
      </c>
      <c r="C43" s="52">
        <f>C80</f>
        <v>5175.172889164516</v>
      </c>
    </row>
    <row r="44" spans="1:3" ht="12.75">
      <c r="A44" s="84">
        <v>6</v>
      </c>
      <c r="B44" s="9" t="s">
        <v>1051</v>
      </c>
      <c r="C44" s="48">
        <f>C81+C83+C84+C85+C82</f>
        <v>8782.246514455666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85238.42654569763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C20*2%</f>
        <v>7888.244600000001</v>
      </c>
    </row>
    <row r="52" spans="1:3" ht="12.75">
      <c r="A52" s="84">
        <v>2</v>
      </c>
      <c r="B52" s="9" t="s">
        <v>391</v>
      </c>
      <c r="C52" s="48">
        <f>C53</f>
        <v>23191.439124000004</v>
      </c>
    </row>
    <row r="53" spans="1:4" ht="12.75">
      <c r="A53" s="49"/>
      <c r="B53" s="5" t="s">
        <v>334</v>
      </c>
      <c r="C53" s="41">
        <f>(C20-C51)*6%</f>
        <v>23191.439124000004</v>
      </c>
      <c r="D53" s="19"/>
    </row>
    <row r="54" spans="1:3" ht="13.5" thickBot="1">
      <c r="A54" s="54"/>
      <c r="B54" s="55" t="s">
        <v>967</v>
      </c>
      <c r="C54" s="56">
        <f>C51+C52</f>
        <v>31079.683724000006</v>
      </c>
    </row>
    <row r="55" spans="1:3" ht="12.75">
      <c r="A55" s="23"/>
      <c r="B55" s="4" t="s">
        <v>288</v>
      </c>
      <c r="C55" s="11">
        <f>C37+C49+C54</f>
        <v>396215.32026969764</v>
      </c>
    </row>
    <row r="56" spans="1:3" ht="12.75">
      <c r="A56" s="23"/>
      <c r="B56" s="77"/>
      <c r="C56" s="1"/>
    </row>
    <row r="57" spans="1:3" ht="15">
      <c r="A57" s="23"/>
      <c r="B57" s="14" t="s">
        <v>812</v>
      </c>
      <c r="C57" s="1">
        <v>142326.27</v>
      </c>
    </row>
    <row r="58" spans="1:3" ht="15">
      <c r="A58" s="23"/>
      <c r="B58" s="14" t="s">
        <v>12</v>
      </c>
      <c r="C58" s="11">
        <v>47650.98</v>
      </c>
    </row>
    <row r="59" spans="1:3" ht="15">
      <c r="A59" s="23"/>
      <c r="B59" s="14" t="s">
        <v>180</v>
      </c>
      <c r="C59" s="11">
        <f>C55+C57-C58-C20</f>
        <v>96478.38026969758</v>
      </c>
    </row>
    <row r="60" ht="12.75">
      <c r="B60" s="1" t="s">
        <v>85</v>
      </c>
    </row>
    <row r="61" ht="14.25" customHeight="1">
      <c r="B61" s="1" t="s">
        <v>1197</v>
      </c>
    </row>
    <row r="62" spans="1:4" ht="12.75">
      <c r="A62" s="2"/>
      <c r="B62" s="2"/>
      <c r="C62" s="2" t="s">
        <v>790</v>
      </c>
      <c r="D62" s="2"/>
    </row>
    <row r="63" spans="1:4" ht="12.75">
      <c r="A63" s="2"/>
      <c r="B63" s="2"/>
      <c r="C63" s="2" t="s">
        <v>973</v>
      </c>
      <c r="D63" s="2"/>
    </row>
    <row r="64" spans="1:5" ht="13.5" thickBot="1">
      <c r="A64" s="37"/>
      <c r="B64" s="37" t="s">
        <v>969</v>
      </c>
      <c r="C64" s="32" t="s">
        <v>886</v>
      </c>
      <c r="D64" s="114">
        <f>C8+C9</f>
        <v>1483.1</v>
      </c>
      <c r="E64" t="s">
        <v>116</v>
      </c>
    </row>
    <row r="65" spans="1:5" ht="12.75">
      <c r="A65" s="60" t="s">
        <v>218</v>
      </c>
      <c r="B65" s="39" t="s">
        <v>165</v>
      </c>
      <c r="C65" s="47">
        <v>193683.76</v>
      </c>
      <c r="D65" s="15"/>
      <c r="E65" s="21"/>
    </row>
    <row r="66" spans="1:5" ht="12.75">
      <c r="A66" s="61"/>
      <c r="B66" s="6" t="s">
        <v>118</v>
      </c>
      <c r="C66" s="41"/>
      <c r="D66" s="15"/>
      <c r="E66" s="21"/>
    </row>
    <row r="67" spans="1:5" ht="12.75">
      <c r="A67" s="62" t="s">
        <v>166</v>
      </c>
      <c r="B67" s="6" t="s">
        <v>380</v>
      </c>
      <c r="C67" s="41">
        <v>15938.6</v>
      </c>
      <c r="D67" s="15"/>
      <c r="E67" s="15"/>
    </row>
    <row r="68" spans="1:5" ht="12.75">
      <c r="A68" s="62" t="s">
        <v>166</v>
      </c>
      <c r="B68" s="6" t="s">
        <v>341</v>
      </c>
      <c r="C68" s="41">
        <v>22967.68</v>
      </c>
      <c r="D68" s="15"/>
      <c r="E68" s="15"/>
    </row>
    <row r="69" spans="1:5" ht="12.75">
      <c r="A69" s="62" t="s">
        <v>166</v>
      </c>
      <c r="B69" s="6" t="s">
        <v>1174</v>
      </c>
      <c r="C69" s="41">
        <v>41035.1</v>
      </c>
      <c r="D69" s="15"/>
      <c r="E69" s="15"/>
    </row>
    <row r="70" spans="1:5" ht="13.5" thickBot="1">
      <c r="A70" s="63" t="s">
        <v>166</v>
      </c>
      <c r="B70" s="42" t="s">
        <v>818</v>
      </c>
      <c r="C70" s="46">
        <v>1376.4</v>
      </c>
      <c r="D70" s="15"/>
      <c r="E70" s="15"/>
    </row>
    <row r="71" spans="1:5" ht="12.75">
      <c r="A71" s="60" t="s">
        <v>328</v>
      </c>
      <c r="B71" s="39" t="s">
        <v>343</v>
      </c>
      <c r="C71" s="47">
        <v>10436.81</v>
      </c>
      <c r="D71" s="15"/>
      <c r="E71" s="12"/>
    </row>
    <row r="72" spans="1:5" ht="12.75">
      <c r="A72" s="61"/>
      <c r="B72" s="6" t="s">
        <v>118</v>
      </c>
      <c r="C72" s="41"/>
      <c r="D72" s="15"/>
      <c r="E72" s="12"/>
    </row>
    <row r="73" spans="1:5" ht="12.75">
      <c r="A73" s="62" t="s">
        <v>166</v>
      </c>
      <c r="B73" s="6" t="s">
        <v>380</v>
      </c>
      <c r="C73" s="41">
        <v>1104</v>
      </c>
      <c r="D73" s="15"/>
      <c r="E73" s="12"/>
    </row>
    <row r="74" spans="1:5" ht="13.5" thickBot="1">
      <c r="A74" s="63" t="s">
        <v>166</v>
      </c>
      <c r="B74" s="42" t="s">
        <v>818</v>
      </c>
      <c r="C74" s="46">
        <v>74.56</v>
      </c>
      <c r="D74" s="15"/>
      <c r="E74" s="15"/>
    </row>
    <row r="75" spans="1:5" ht="12.75">
      <c r="A75" s="300" t="s">
        <v>787</v>
      </c>
      <c r="B75" s="97" t="s">
        <v>1050</v>
      </c>
      <c r="C75" s="82">
        <f>C76+C77+C79+C78+C80+C81+C83+C84+C85+C82</f>
        <v>85238.42654569763</v>
      </c>
      <c r="D75" s="15"/>
      <c r="E75" s="12"/>
    </row>
    <row r="76" spans="1:5" ht="13.5" thickBot="1">
      <c r="A76" s="40" t="s">
        <v>166</v>
      </c>
      <c r="B76" s="6" t="s">
        <v>227</v>
      </c>
      <c r="C76" s="41">
        <f>C39</f>
        <v>59161.834500000004</v>
      </c>
      <c r="D76" s="15"/>
      <c r="E76" s="12"/>
    </row>
    <row r="77" spans="1:5" ht="12.75">
      <c r="A77" s="40" t="s">
        <v>166</v>
      </c>
      <c r="B77" s="6" t="s">
        <v>370</v>
      </c>
      <c r="C77" s="317">
        <f>401410.25/185335.63*C8</f>
        <v>2824.27596895427</v>
      </c>
      <c r="D77" s="375" t="s">
        <v>1165</v>
      </c>
      <c r="E77" s="376"/>
    </row>
    <row r="78" spans="1:5" ht="12.75">
      <c r="A78" s="73" t="s">
        <v>166</v>
      </c>
      <c r="B78" s="74" t="s">
        <v>397</v>
      </c>
      <c r="C78" s="317">
        <f>435991.01/185335.63*C8</f>
        <v>3067.5821861128375</v>
      </c>
      <c r="D78" s="377" t="s">
        <v>1166</v>
      </c>
      <c r="E78" s="378"/>
    </row>
    <row r="79" spans="1:5" ht="12.75">
      <c r="A79" s="71" t="s">
        <v>166</v>
      </c>
      <c r="B79" s="72" t="s">
        <v>416</v>
      </c>
      <c r="C79" s="317">
        <f>1082167/226605.83*C8</f>
        <v>6227.31448701033</v>
      </c>
      <c r="D79" s="379" t="s">
        <v>1167</v>
      </c>
      <c r="E79" s="380"/>
    </row>
    <row r="80" spans="1:5" ht="25.5">
      <c r="A80" s="73" t="s">
        <v>166</v>
      </c>
      <c r="B80" s="72" t="s">
        <v>231</v>
      </c>
      <c r="C80" s="318">
        <f>845684.35/242356.05*D64</f>
        <v>5175.172889164516</v>
      </c>
      <c r="D80" s="381" t="s">
        <v>1168</v>
      </c>
      <c r="E80" s="382"/>
    </row>
    <row r="81" spans="1:5" ht="12.75">
      <c r="A81" s="73" t="s">
        <v>166</v>
      </c>
      <c r="B81" s="74" t="s">
        <v>808</v>
      </c>
      <c r="C81" s="318">
        <f>642562.44/242356.05*D64</f>
        <v>3932.1665572780207</v>
      </c>
      <c r="D81" s="371" t="s">
        <v>1169</v>
      </c>
      <c r="E81" s="372"/>
    </row>
    <row r="82" spans="1:5" ht="12.75">
      <c r="A82" s="73" t="s">
        <v>166</v>
      </c>
      <c r="B82" s="74" t="s">
        <v>826</v>
      </c>
      <c r="C82" s="318">
        <f>51615/196822.43*D64</f>
        <v>388.9302987469467</v>
      </c>
      <c r="D82" s="371" t="s">
        <v>1170</v>
      </c>
      <c r="E82" s="372"/>
    </row>
    <row r="83" spans="1:5" ht="12.75">
      <c r="A83" s="73" t="s">
        <v>166</v>
      </c>
      <c r="B83" s="74" t="s">
        <v>655</v>
      </c>
      <c r="C83" s="318">
        <f>129011.28/196822.43*D64</f>
        <v>972.1281734403949</v>
      </c>
      <c r="D83" s="371" t="s">
        <v>1171</v>
      </c>
      <c r="E83" s="372"/>
    </row>
    <row r="84" spans="1:5" ht="12.75">
      <c r="A84" s="73" t="s">
        <v>166</v>
      </c>
      <c r="B84" s="74" t="s">
        <v>656</v>
      </c>
      <c r="C84" s="318">
        <f>164128/196822.43*D64</f>
        <v>1236.7403288334565</v>
      </c>
      <c r="D84" s="373" t="s">
        <v>1172</v>
      </c>
      <c r="E84" s="374"/>
    </row>
    <row r="85" spans="1:5" ht="13.5" thickBot="1">
      <c r="A85" s="75" t="s">
        <v>166</v>
      </c>
      <c r="B85" s="76" t="s">
        <v>809</v>
      </c>
      <c r="C85" s="319">
        <f>298900.58/196822.43*D64</f>
        <v>2252.2811561568465</v>
      </c>
      <c r="D85" s="369" t="s">
        <v>1173</v>
      </c>
      <c r="E85" s="370"/>
    </row>
    <row r="86" ht="13.5" thickBot="1"/>
    <row r="87" spans="2:5" ht="26.25" thickBot="1">
      <c r="B87" s="143"/>
      <c r="C87" s="159" t="s">
        <v>104</v>
      </c>
      <c r="D87" s="161" t="s">
        <v>306</v>
      </c>
      <c r="E87" s="160" t="s">
        <v>1115</v>
      </c>
    </row>
    <row r="88" spans="2:5" ht="13.5" thickBot="1">
      <c r="B88" s="363" t="s">
        <v>971</v>
      </c>
      <c r="C88" s="364"/>
      <c r="D88" s="364"/>
      <c r="E88" s="368"/>
    </row>
    <row r="89" spans="2:5" ht="12.75">
      <c r="B89" s="140" t="s">
        <v>285</v>
      </c>
      <c r="C89" s="162">
        <v>95775.65</v>
      </c>
      <c r="D89" s="163">
        <v>109054.71</v>
      </c>
      <c r="E89" s="164">
        <f>D89-C89</f>
        <v>13279.060000000012</v>
      </c>
    </row>
    <row r="90" spans="2:5" ht="12.75">
      <c r="B90" s="115" t="s">
        <v>637</v>
      </c>
      <c r="C90" s="290">
        <v>46701.11</v>
      </c>
      <c r="D90" s="291">
        <v>52728.03</v>
      </c>
      <c r="E90" s="164">
        <f>D90-C90</f>
        <v>6026.919999999998</v>
      </c>
    </row>
    <row r="91" spans="2:5" ht="13.5" thickBot="1">
      <c r="B91" s="157" t="s">
        <v>232</v>
      </c>
      <c r="C91" s="36">
        <v>11959.3</v>
      </c>
      <c r="D91" s="165">
        <v>11959.3</v>
      </c>
      <c r="E91" s="166">
        <f>D91-C91</f>
        <v>0</v>
      </c>
    </row>
    <row r="92" spans="2:5" ht="13.5" thickBot="1">
      <c r="B92" s="143"/>
      <c r="C92" s="167">
        <f>SUM(C89:C91)</f>
        <v>154436.06</v>
      </c>
      <c r="D92" s="168">
        <f>SUM(D89:D91)</f>
        <v>173742.03999999998</v>
      </c>
      <c r="E92" s="169">
        <f>D92-C92</f>
        <v>19305.97999999998</v>
      </c>
    </row>
    <row r="93" spans="2:5" ht="13.5" thickBot="1">
      <c r="B93" s="363" t="s">
        <v>1196</v>
      </c>
      <c r="C93" s="364"/>
      <c r="D93" s="364"/>
      <c r="E93" s="365"/>
    </row>
    <row r="94" spans="2:5" ht="12.75">
      <c r="B94" s="140" t="s">
        <v>285</v>
      </c>
      <c r="C94" s="141">
        <v>99686.67</v>
      </c>
      <c r="D94" s="218">
        <v>107074.96</v>
      </c>
      <c r="E94" s="213">
        <f>D94-C94</f>
        <v>7388.290000000008</v>
      </c>
    </row>
    <row r="95" spans="2:5" ht="12.75">
      <c r="B95" s="115" t="s">
        <v>637</v>
      </c>
      <c r="C95" s="5">
        <v>48520.11</v>
      </c>
      <c r="D95" s="99">
        <v>52737.84</v>
      </c>
      <c r="E95" s="214">
        <f>D95-C95</f>
        <v>4217.729999999996</v>
      </c>
    </row>
    <row r="96" spans="2:5" ht="12.75">
      <c r="B96" s="115" t="s">
        <v>633</v>
      </c>
      <c r="C96" s="5">
        <v>10771.16</v>
      </c>
      <c r="D96" s="98">
        <v>13041</v>
      </c>
      <c r="E96" s="214">
        <f>D96-C96</f>
        <v>2269.84</v>
      </c>
    </row>
    <row r="97" spans="2:5" ht="13.5" thickBot="1">
      <c r="B97" s="157" t="s">
        <v>232</v>
      </c>
      <c r="C97" s="95">
        <v>12399.16</v>
      </c>
      <c r="D97" s="95">
        <v>20295.16</v>
      </c>
      <c r="E97" s="216">
        <f>D97-C97</f>
        <v>7896</v>
      </c>
    </row>
    <row r="98" spans="2:5" ht="13.5" thickBot="1">
      <c r="B98" s="177"/>
      <c r="C98" s="179">
        <f>SUM(C94:C97)</f>
        <v>171377.1</v>
      </c>
      <c r="D98" s="292">
        <f>SUM(D94:D97)</f>
        <v>193148.96</v>
      </c>
      <c r="E98" s="293">
        <f>D98-C98</f>
        <v>21771.859999999986</v>
      </c>
    </row>
    <row r="99" spans="2:5" ht="13.5" thickBot="1">
      <c r="B99" s="363" t="s">
        <v>804</v>
      </c>
      <c r="C99" s="364"/>
      <c r="D99" s="364"/>
      <c r="E99" s="365"/>
    </row>
    <row r="100" spans="2:5" ht="12.75">
      <c r="B100" s="140" t="s">
        <v>285</v>
      </c>
      <c r="C100" s="141">
        <v>120597.92</v>
      </c>
      <c r="D100" s="218">
        <v>127302.76</v>
      </c>
      <c r="E100" s="213">
        <f aca="true" t="shared" si="1" ref="E100:E105">D100-C100</f>
        <v>6704.8399999999965</v>
      </c>
    </row>
    <row r="101" spans="2:5" ht="12.75">
      <c r="B101" s="115" t="s">
        <v>637</v>
      </c>
      <c r="C101" s="5">
        <v>55994.86</v>
      </c>
      <c r="D101" s="99">
        <v>59465.27</v>
      </c>
      <c r="E101" s="214">
        <f t="shared" si="1"/>
        <v>3470.409999999996</v>
      </c>
    </row>
    <row r="102" spans="2:5" ht="12.75">
      <c r="B102" s="115" t="s">
        <v>633</v>
      </c>
      <c r="C102" s="5">
        <v>17889.61</v>
      </c>
      <c r="D102" s="98">
        <v>19567.87</v>
      </c>
      <c r="E102" s="214">
        <f t="shared" si="1"/>
        <v>1678.2599999999984</v>
      </c>
    </row>
    <row r="103" spans="2:5" ht="12.75">
      <c r="B103" s="115" t="s">
        <v>113</v>
      </c>
      <c r="C103" s="5">
        <v>4493.86</v>
      </c>
      <c r="D103" s="98">
        <v>4640.04</v>
      </c>
      <c r="E103" s="214">
        <f t="shared" si="1"/>
        <v>146.1800000000003</v>
      </c>
    </row>
    <row r="104" spans="2:5" ht="25.5">
      <c r="B104" s="220" t="s">
        <v>939</v>
      </c>
      <c r="C104" s="111">
        <v>2500</v>
      </c>
      <c r="D104" s="112">
        <v>2500</v>
      </c>
      <c r="E104" s="288">
        <f t="shared" si="1"/>
        <v>0</v>
      </c>
    </row>
    <row r="105" spans="2:5" ht="13.5" thickBot="1">
      <c r="B105" s="157" t="s">
        <v>232</v>
      </c>
      <c r="C105" s="95">
        <v>29002.5</v>
      </c>
      <c r="D105" s="95">
        <v>28681.52</v>
      </c>
      <c r="E105" s="216">
        <f t="shared" si="1"/>
        <v>-320.97999999999956</v>
      </c>
    </row>
    <row r="106" spans="2:5" ht="13.5" thickBot="1">
      <c r="B106" s="187"/>
      <c r="C106" s="188">
        <f>SUM(C100:C105)</f>
        <v>230478.75</v>
      </c>
      <c r="D106" s="174">
        <f>SUM(D100:D105)</f>
        <v>242157.46</v>
      </c>
      <c r="E106" s="174">
        <f>SUM(E100:E105)</f>
        <v>11678.709999999992</v>
      </c>
    </row>
    <row r="107" spans="2:5" ht="13.5" thickBot="1">
      <c r="B107" s="363" t="s">
        <v>382</v>
      </c>
      <c r="C107" s="364"/>
      <c r="D107" s="364"/>
      <c r="E107" s="365"/>
    </row>
    <row r="108" spans="2:5" ht="12.75">
      <c r="B108" s="140" t="s">
        <v>285</v>
      </c>
      <c r="C108" s="212">
        <v>123913.74</v>
      </c>
      <c r="D108" s="223">
        <v>136137.6</v>
      </c>
      <c r="E108" s="294">
        <f aca="true" t="shared" si="2" ref="E108:E113">D108-C108</f>
        <v>12223.86</v>
      </c>
    </row>
    <row r="109" spans="2:5" ht="12.75">
      <c r="B109" s="115" t="s">
        <v>637</v>
      </c>
      <c r="C109" s="18">
        <v>60180.13</v>
      </c>
      <c r="D109" s="18">
        <v>66191.04</v>
      </c>
      <c r="E109" s="128">
        <f t="shared" si="2"/>
        <v>6010.909999999996</v>
      </c>
    </row>
    <row r="110" spans="2:5" ht="12.75">
      <c r="B110" s="115" t="s">
        <v>408</v>
      </c>
      <c r="C110" s="18">
        <v>22119.09</v>
      </c>
      <c r="D110" s="18">
        <v>23472.67</v>
      </c>
      <c r="E110" s="128">
        <f t="shared" si="2"/>
        <v>1353.579999999998</v>
      </c>
    </row>
    <row r="111" spans="2:5" ht="12.75">
      <c r="B111" s="220" t="s">
        <v>113</v>
      </c>
      <c r="C111" s="111">
        <v>4652.15</v>
      </c>
      <c r="D111" s="112">
        <v>5677</v>
      </c>
      <c r="E111" s="128">
        <f t="shared" si="2"/>
        <v>1024.8500000000004</v>
      </c>
    </row>
    <row r="112" spans="2:5" ht="12.75">
      <c r="B112" s="115" t="s">
        <v>232</v>
      </c>
      <c r="C112" s="18">
        <v>39244.52</v>
      </c>
      <c r="D112" s="18">
        <v>31930.8</v>
      </c>
      <c r="E112" s="57">
        <f t="shared" si="2"/>
        <v>-7313.7199999999975</v>
      </c>
    </row>
    <row r="113" spans="2:5" ht="13.5" thickBot="1">
      <c r="B113" s="157" t="s">
        <v>279</v>
      </c>
      <c r="C113" s="215">
        <v>0</v>
      </c>
      <c r="D113" s="215">
        <v>9675</v>
      </c>
      <c r="E113" s="222">
        <f t="shared" si="2"/>
        <v>9675</v>
      </c>
    </row>
    <row r="114" spans="2:5" ht="13.5" thickBot="1">
      <c r="B114" s="143"/>
      <c r="C114" s="174">
        <f>SUM(C108:C113)</f>
        <v>250109.62999999998</v>
      </c>
      <c r="D114" s="174">
        <f>SUM(D108:D113)</f>
        <v>273084.11</v>
      </c>
      <c r="E114" s="174">
        <f>SUM(E108:E113)</f>
        <v>22974.48</v>
      </c>
    </row>
    <row r="115" spans="2:5" ht="13.5" thickBot="1">
      <c r="B115" s="363" t="s">
        <v>1058</v>
      </c>
      <c r="C115" s="364"/>
      <c r="D115" s="364"/>
      <c r="E115" s="365"/>
    </row>
    <row r="116" spans="2:5" ht="12.75">
      <c r="B116" s="140" t="s">
        <v>285</v>
      </c>
      <c r="C116" s="141">
        <v>218422.63</v>
      </c>
      <c r="D116" s="155">
        <v>144978.72</v>
      </c>
      <c r="E116" s="294">
        <f aca="true" t="shared" si="3" ref="E116:E122">D116-C116</f>
        <v>-73443.91</v>
      </c>
    </row>
    <row r="117" spans="2:5" ht="12.75">
      <c r="B117" s="115" t="s">
        <v>637</v>
      </c>
      <c r="C117" s="5">
        <v>67421.58</v>
      </c>
      <c r="D117" s="33">
        <v>70494.24</v>
      </c>
      <c r="E117" s="128">
        <f t="shared" si="3"/>
        <v>3072.6600000000035</v>
      </c>
    </row>
    <row r="118" spans="2:5" ht="12.75">
      <c r="B118" s="115" t="s">
        <v>633</v>
      </c>
      <c r="C118" s="5">
        <v>22796.21</v>
      </c>
      <c r="D118" s="34">
        <v>25036.8</v>
      </c>
      <c r="E118" s="128">
        <f t="shared" si="3"/>
        <v>2240.59</v>
      </c>
    </row>
    <row r="119" spans="2:5" ht="12.75">
      <c r="B119" s="115" t="s">
        <v>1200</v>
      </c>
      <c r="C119" s="67">
        <v>13379.77</v>
      </c>
      <c r="D119" s="83">
        <v>13379.77</v>
      </c>
      <c r="E119" s="128">
        <f t="shared" si="3"/>
        <v>0</v>
      </c>
    </row>
    <row r="120" spans="2:5" ht="12.75">
      <c r="B120" s="115" t="s">
        <v>232</v>
      </c>
      <c r="C120" s="65">
        <v>11359.32</v>
      </c>
      <c r="D120" s="83">
        <v>32129.88</v>
      </c>
      <c r="E120" s="128">
        <f t="shared" si="3"/>
        <v>20770.56</v>
      </c>
    </row>
    <row r="121" spans="2:5" ht="12.75">
      <c r="B121" s="116" t="s">
        <v>279</v>
      </c>
      <c r="C121" s="67">
        <v>17415</v>
      </c>
      <c r="D121" s="83">
        <v>17515</v>
      </c>
      <c r="E121" s="57">
        <f t="shared" si="3"/>
        <v>100</v>
      </c>
    </row>
    <row r="122" spans="2:5" ht="13.5" thickBot="1">
      <c r="B122" s="156" t="s">
        <v>113</v>
      </c>
      <c r="C122" s="274">
        <v>2234.82</v>
      </c>
      <c r="D122" s="319">
        <v>0</v>
      </c>
      <c r="E122" s="222">
        <f t="shared" si="3"/>
        <v>-2234.82</v>
      </c>
    </row>
    <row r="123" spans="2:5" ht="13.5" thickBot="1">
      <c r="B123" s="143"/>
      <c r="C123" s="174">
        <f>SUM(C116:C122)</f>
        <v>353029.3300000001</v>
      </c>
      <c r="D123" s="174">
        <f>SUM(D116:D122)</f>
        <v>303534.41</v>
      </c>
      <c r="E123" s="174">
        <f>SUM(E116:E122)</f>
        <v>-49494.920000000006</v>
      </c>
    </row>
    <row r="124" spans="2:5" ht="13.5" thickBot="1">
      <c r="B124" s="363" t="s">
        <v>823</v>
      </c>
      <c r="C124" s="364"/>
      <c r="D124" s="364"/>
      <c r="E124" s="365"/>
    </row>
    <row r="125" spans="2:5" ht="12.75">
      <c r="B125" s="140" t="s">
        <v>285</v>
      </c>
      <c r="C125" s="141">
        <v>87390.62</v>
      </c>
      <c r="D125" s="155">
        <v>76909.92</v>
      </c>
      <c r="E125" s="242">
        <f aca="true" t="shared" si="4" ref="E125:E131">D125-C125</f>
        <v>-10480.699999999997</v>
      </c>
    </row>
    <row r="126" spans="2:5" ht="12.75">
      <c r="B126" s="115" t="s">
        <v>637</v>
      </c>
      <c r="C126" s="5">
        <v>40296.89</v>
      </c>
      <c r="D126" s="33">
        <v>37398.42</v>
      </c>
      <c r="E126" s="57">
        <f t="shared" si="4"/>
        <v>-2898.470000000001</v>
      </c>
    </row>
    <row r="127" spans="2:5" ht="12.75">
      <c r="B127" s="115" t="s">
        <v>633</v>
      </c>
      <c r="C127" s="65">
        <v>13897.74</v>
      </c>
      <c r="D127" s="70">
        <v>13300.8</v>
      </c>
      <c r="E127" s="57">
        <f t="shared" si="4"/>
        <v>-596.9400000000005</v>
      </c>
    </row>
    <row r="128" spans="2:5" ht="12.75">
      <c r="B128" s="116" t="s">
        <v>364</v>
      </c>
      <c r="C128" s="94">
        <v>5132.4</v>
      </c>
      <c r="D128" s="83">
        <v>9429.05</v>
      </c>
      <c r="E128" s="57">
        <f t="shared" si="4"/>
        <v>4296.65</v>
      </c>
    </row>
    <row r="129" spans="2:5" ht="12.75">
      <c r="B129" s="116" t="s">
        <v>415</v>
      </c>
      <c r="C129" s="94">
        <v>900</v>
      </c>
      <c r="D129" s="83">
        <v>1400</v>
      </c>
      <c r="E129" s="57">
        <f t="shared" si="4"/>
        <v>500</v>
      </c>
    </row>
    <row r="130" spans="2:5" ht="12.75">
      <c r="B130" s="116" t="s">
        <v>816</v>
      </c>
      <c r="C130" s="344">
        <v>18576.45</v>
      </c>
      <c r="D130" s="316">
        <v>25220.36</v>
      </c>
      <c r="E130" s="57">
        <f t="shared" si="4"/>
        <v>6643.91</v>
      </c>
    </row>
    <row r="131" spans="2:5" ht="13.5" thickBot="1">
      <c r="B131" s="157" t="s">
        <v>279</v>
      </c>
      <c r="C131" s="229">
        <v>5805</v>
      </c>
      <c r="D131" s="229">
        <v>9285</v>
      </c>
      <c r="E131" s="219">
        <f t="shared" si="4"/>
        <v>3480</v>
      </c>
    </row>
    <row r="132" spans="2:5" ht="13.5" thickBot="1">
      <c r="B132" s="177"/>
      <c r="C132" s="217">
        <f>SUM(C125:C131)</f>
        <v>171999.1</v>
      </c>
      <c r="D132" s="217">
        <f>SUM(D125:D131)</f>
        <v>172943.55</v>
      </c>
      <c r="E132" s="217">
        <f>SUM(E125:E131)</f>
        <v>944.4500000000007</v>
      </c>
    </row>
    <row r="133" spans="2:5" ht="13.5" thickBot="1">
      <c r="B133" s="363" t="s">
        <v>87</v>
      </c>
      <c r="C133" s="364"/>
      <c r="D133" s="364"/>
      <c r="E133" s="365"/>
    </row>
    <row r="134" spans="2:5" ht="12.75">
      <c r="B134" s="140" t="s">
        <v>285</v>
      </c>
      <c r="C134" s="234">
        <v>157237.16</v>
      </c>
      <c r="D134" s="155">
        <v>160767.53</v>
      </c>
      <c r="E134" s="242">
        <f aca="true" t="shared" si="5" ref="E134:E141">D134-C134</f>
        <v>3530.3699999999953</v>
      </c>
    </row>
    <row r="135" spans="2:5" ht="12.75">
      <c r="B135" s="115" t="s">
        <v>637</v>
      </c>
      <c r="C135" s="10">
        <v>74765.49</v>
      </c>
      <c r="D135" s="34">
        <v>79257.42</v>
      </c>
      <c r="E135" s="57">
        <f t="shared" si="5"/>
        <v>4491.929999999993</v>
      </c>
    </row>
    <row r="136" spans="2:5" ht="12.75">
      <c r="B136" s="115" t="s">
        <v>633</v>
      </c>
      <c r="C136" s="67">
        <v>28008.19</v>
      </c>
      <c r="D136" s="83">
        <v>28166.4</v>
      </c>
      <c r="E136" s="57">
        <f t="shared" si="5"/>
        <v>158.21000000000276</v>
      </c>
    </row>
    <row r="137" spans="2:5" ht="12.75">
      <c r="B137" s="116" t="s">
        <v>364</v>
      </c>
      <c r="C137" s="94">
        <v>56871.88</v>
      </c>
      <c r="D137" s="83">
        <v>57476.73</v>
      </c>
      <c r="E137" s="57">
        <f t="shared" si="5"/>
        <v>604.8500000000058</v>
      </c>
    </row>
    <row r="138" spans="2:5" ht="12.75" customHeight="1">
      <c r="B138" s="352" t="s">
        <v>1007</v>
      </c>
      <c r="C138" s="258">
        <v>6972.81</v>
      </c>
      <c r="D138" s="258">
        <v>6972.81</v>
      </c>
      <c r="E138" s="57">
        <f t="shared" si="5"/>
        <v>0</v>
      </c>
    </row>
    <row r="139" spans="2:5" ht="12.75">
      <c r="B139" s="116" t="s">
        <v>29</v>
      </c>
      <c r="C139" s="94">
        <f>2400+3600</f>
        <v>6000</v>
      </c>
      <c r="D139" s="83">
        <f>2400+3300</f>
        <v>5700</v>
      </c>
      <c r="E139" s="57">
        <f t="shared" si="5"/>
        <v>-300</v>
      </c>
    </row>
    <row r="140" spans="2:5" ht="12.75">
      <c r="B140" s="269" t="s">
        <v>415</v>
      </c>
      <c r="C140" s="122">
        <v>16583.13</v>
      </c>
      <c r="D140" s="122">
        <v>16723.58</v>
      </c>
      <c r="E140" s="123">
        <f t="shared" si="5"/>
        <v>140.45000000000073</v>
      </c>
    </row>
    <row r="141" spans="2:5" ht="13.5" thickBot="1">
      <c r="B141" s="157" t="s">
        <v>805</v>
      </c>
      <c r="C141" s="225">
        <f>6274.63+35082.39+6616.55</f>
        <v>47973.57</v>
      </c>
      <c r="D141" s="226">
        <f>6274.63+23943.24+6616.55</f>
        <v>36834.420000000006</v>
      </c>
      <c r="E141" s="219">
        <f t="shared" si="5"/>
        <v>-11139.149999999994</v>
      </c>
    </row>
    <row r="142" spans="2:5" ht="13.5" thickBot="1">
      <c r="B142" s="177"/>
      <c r="C142" s="217">
        <f>SUM(C134:C141)</f>
        <v>394412.23000000004</v>
      </c>
      <c r="D142" s="217">
        <f>SUM(D134:D141)</f>
        <v>391898.89</v>
      </c>
      <c r="E142" s="217">
        <f>SUM(E134:E141)</f>
        <v>-2513.3399999999965</v>
      </c>
    </row>
    <row r="143" spans="2:5" ht="13.5" thickBot="1">
      <c r="B143" s="366" t="s">
        <v>379</v>
      </c>
      <c r="C143" s="367"/>
      <c r="D143" s="367"/>
      <c r="E143" s="368"/>
    </row>
    <row r="144" spans="2:5" ht="13.5" thickBot="1">
      <c r="B144" s="153"/>
      <c r="C144" s="176">
        <f>C92+C98+C106+C114+C123+C132+C142</f>
        <v>1725842.2000000002</v>
      </c>
      <c r="D144" s="176">
        <f>D92+D98+D106+D114+D123+D132+D142</f>
        <v>1750509.42</v>
      </c>
      <c r="E144" s="176">
        <f>E92+E98+E106+E114+E123+E132+E142</f>
        <v>24667.219999999954</v>
      </c>
    </row>
  </sheetData>
  <sheetProtection/>
  <mergeCells count="25">
    <mergeCell ref="A6:E6"/>
    <mergeCell ref="A21:D21"/>
    <mergeCell ref="A22:D22"/>
    <mergeCell ref="D26:E26"/>
    <mergeCell ref="A2:B2"/>
    <mergeCell ref="C2:E2"/>
    <mergeCell ref="C3:E3"/>
    <mergeCell ref="B4:E4"/>
    <mergeCell ref="D81:E81"/>
    <mergeCell ref="D82:E82"/>
    <mergeCell ref="D83:E83"/>
    <mergeCell ref="D84:E84"/>
    <mergeCell ref="D77:E77"/>
    <mergeCell ref="D78:E78"/>
    <mergeCell ref="D79:E79"/>
    <mergeCell ref="D80:E80"/>
    <mergeCell ref="B107:E107"/>
    <mergeCell ref="B115:E115"/>
    <mergeCell ref="B124:E124"/>
    <mergeCell ref="B143:E143"/>
    <mergeCell ref="B133:E133"/>
    <mergeCell ref="D85:E85"/>
    <mergeCell ref="B88:E88"/>
    <mergeCell ref="B93:E93"/>
    <mergeCell ref="B99:E99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9.875" style="0" customWidth="1"/>
    <col min="3" max="3" width="10.25390625" style="0" customWidth="1"/>
    <col min="4" max="4" width="12.125" style="0" customWidth="1"/>
    <col min="5" max="5" width="14.1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362</v>
      </c>
      <c r="C7" s="26"/>
      <c r="D7" s="24"/>
    </row>
    <row r="8" spans="1:4" ht="15">
      <c r="A8" s="26"/>
      <c r="B8" s="27" t="s">
        <v>115</v>
      </c>
      <c r="C8" s="38">
        <v>6648.3</v>
      </c>
      <c r="D8" s="92" t="s">
        <v>116</v>
      </c>
    </row>
    <row r="9" spans="1:4" ht="15">
      <c r="A9" s="26"/>
      <c r="B9" s="27" t="s">
        <v>654</v>
      </c>
      <c r="C9" s="93">
        <v>1021.1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892826.36</v>
      </c>
      <c r="D12" s="155">
        <v>1006119.12</v>
      </c>
      <c r="E12" s="242">
        <f aca="true" t="shared" si="0" ref="E12:E17">D12-C12</f>
        <v>113292.76000000001</v>
      </c>
    </row>
    <row r="13" spans="1:5" ht="12.75">
      <c r="A13" s="84">
        <v>2</v>
      </c>
      <c r="B13" s="5" t="s">
        <v>637</v>
      </c>
      <c r="C13" s="10">
        <v>299316.42</v>
      </c>
      <c r="D13" s="34">
        <v>342654.84</v>
      </c>
      <c r="E13" s="57">
        <f t="shared" si="0"/>
        <v>43338.42000000004</v>
      </c>
    </row>
    <row r="14" spans="1:5" ht="12.75">
      <c r="A14" s="84">
        <v>3</v>
      </c>
      <c r="B14" s="65" t="s">
        <v>364</v>
      </c>
      <c r="C14" s="94">
        <v>78307.63</v>
      </c>
      <c r="D14" s="83">
        <v>86959.92</v>
      </c>
      <c r="E14" s="57">
        <f t="shared" si="0"/>
        <v>8652.289999999994</v>
      </c>
    </row>
    <row r="15" spans="1:5" ht="12.75">
      <c r="A15" s="87">
        <v>4</v>
      </c>
      <c r="B15" s="351" t="s">
        <v>415</v>
      </c>
      <c r="C15" s="258">
        <v>5719.3</v>
      </c>
      <c r="D15" s="258">
        <v>1098.54</v>
      </c>
      <c r="E15" s="66">
        <f t="shared" si="0"/>
        <v>-4620.76</v>
      </c>
    </row>
    <row r="16" spans="1:5" ht="12.75">
      <c r="A16" s="84">
        <v>5</v>
      </c>
      <c r="B16" s="65" t="s">
        <v>29</v>
      </c>
      <c r="C16" s="94">
        <f>7200+3600+34650+425.81+121500+14678.71</f>
        <v>182054.52</v>
      </c>
      <c r="D16" s="83">
        <f>7200+3300+34650+425.81+162000+11798.71</f>
        <v>219374.52</v>
      </c>
      <c r="E16" s="57">
        <f t="shared" si="0"/>
        <v>37320</v>
      </c>
    </row>
    <row r="17" spans="1:5" ht="13.5" thickBot="1">
      <c r="A17" s="87">
        <v>6</v>
      </c>
      <c r="B17" s="5" t="s">
        <v>805</v>
      </c>
      <c r="C17" s="67">
        <f>92541.65+23775.22+37232.18+49984.74+16104.35+9865.65+3678.57+159900.16+13534.94+188135.65+5858.85</f>
        <v>600611.96</v>
      </c>
      <c r="D17" s="83">
        <f>80375.83+20346.23+3744.04+46645.5+44211.54-7163.34+10403.53+3744.04+11733.08+393885.76-20148.75</f>
        <v>587777.46</v>
      </c>
      <c r="E17" s="57">
        <f t="shared" si="0"/>
        <v>-12834.5</v>
      </c>
    </row>
    <row r="18" spans="1:5" ht="13.5" thickBot="1">
      <c r="A18" s="208"/>
      <c r="B18" s="209"/>
      <c r="C18" s="135">
        <f>SUM(C12:C17)</f>
        <v>2058836.1900000002</v>
      </c>
      <c r="D18" s="135">
        <f>SUM(D12:D17)</f>
        <v>2243984.4</v>
      </c>
      <c r="E18" s="136">
        <f>SUM(E12:E17)</f>
        <v>185148.21000000002</v>
      </c>
    </row>
    <row r="19" spans="1:5" ht="12.75">
      <c r="A19" s="385" t="s">
        <v>793</v>
      </c>
      <c r="B19" s="386"/>
      <c r="C19" s="386"/>
      <c r="D19" s="386"/>
      <c r="E19" s="108">
        <f>E137</f>
        <v>826586.31</v>
      </c>
    </row>
    <row r="20" spans="1:5" ht="12.75">
      <c r="A20" s="387" t="s">
        <v>794</v>
      </c>
      <c r="B20" s="384"/>
      <c r="C20" s="384"/>
      <c r="D20" s="384"/>
      <c r="E20" s="259">
        <v>393508.57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25.5">
      <c r="A23" s="86">
        <v>1</v>
      </c>
      <c r="B23" s="64" t="s">
        <v>638</v>
      </c>
      <c r="C23" s="80">
        <f>C66</f>
        <v>547240.11</v>
      </c>
      <c r="E23" s="29"/>
    </row>
    <row r="24" spans="1:5" ht="12.75">
      <c r="A24" s="91">
        <v>2</v>
      </c>
      <c r="B24" s="25" t="s">
        <v>344</v>
      </c>
      <c r="C24" s="102">
        <f>C73</f>
        <v>24174.43</v>
      </c>
      <c r="D24" s="388"/>
      <c r="E24" s="389"/>
    </row>
    <row r="25" spans="1:5" ht="12.75">
      <c r="A25" s="84">
        <v>3</v>
      </c>
      <c r="B25" s="9" t="s">
        <v>649</v>
      </c>
      <c r="C25" s="48">
        <v>19967.02</v>
      </c>
      <c r="E25" s="29"/>
    </row>
    <row r="26" spans="1:5" ht="12.75">
      <c r="A26" s="84">
        <v>4</v>
      </c>
      <c r="B26" s="9" t="s">
        <v>122</v>
      </c>
      <c r="C26" s="48">
        <f>(C8*0.55*12)</f>
        <v>43878.780000000006</v>
      </c>
      <c r="E26" s="29"/>
    </row>
    <row r="27" spans="1:5" ht="15">
      <c r="A27" s="84">
        <v>5</v>
      </c>
      <c r="B27" s="9" t="s">
        <v>658</v>
      </c>
      <c r="C27" s="79">
        <v>41432.04</v>
      </c>
      <c r="D27" s="425" t="s">
        <v>831</v>
      </c>
      <c r="E27" s="383"/>
    </row>
    <row r="28" spans="1:5" ht="25.5">
      <c r="A28" s="91">
        <v>6</v>
      </c>
      <c r="B28" s="25" t="s">
        <v>529</v>
      </c>
      <c r="C28" s="96">
        <v>38400</v>
      </c>
      <c r="D28" s="426" t="s">
        <v>829</v>
      </c>
      <c r="E28" s="427"/>
    </row>
    <row r="29" spans="1:5" ht="12.75" customHeight="1">
      <c r="A29" s="91">
        <v>7</v>
      </c>
      <c r="B29" s="25" t="s">
        <v>335</v>
      </c>
      <c r="C29" s="96">
        <v>8400</v>
      </c>
      <c r="D29" s="426" t="s">
        <v>828</v>
      </c>
      <c r="E29" s="427"/>
    </row>
    <row r="30" spans="1:5" ht="12.75">
      <c r="A30" s="91">
        <v>8</v>
      </c>
      <c r="B30" s="346" t="s">
        <v>798</v>
      </c>
      <c r="C30" s="79">
        <v>60026.91</v>
      </c>
      <c r="D30" s="426" t="s">
        <v>827</v>
      </c>
      <c r="E30" s="427"/>
    </row>
    <row r="31" spans="1:5" ht="12.75">
      <c r="A31" s="91">
        <v>9</v>
      </c>
      <c r="B31" s="25" t="s">
        <v>272</v>
      </c>
      <c r="C31" s="79">
        <v>151200</v>
      </c>
      <c r="D31" s="423" t="s">
        <v>830</v>
      </c>
      <c r="E31" s="424"/>
    </row>
    <row r="32" spans="1:5" ht="12.75" customHeight="1">
      <c r="A32" s="91">
        <v>10</v>
      </c>
      <c r="B32" s="25" t="s">
        <v>45</v>
      </c>
      <c r="C32" s="79">
        <v>13500</v>
      </c>
      <c r="E32" s="29"/>
    </row>
    <row r="33" spans="1:5" ht="12.75">
      <c r="A33" s="91">
        <v>11</v>
      </c>
      <c r="B33" s="78" t="s">
        <v>532</v>
      </c>
      <c r="C33" s="48">
        <v>16200</v>
      </c>
      <c r="E33" s="29"/>
    </row>
    <row r="34" spans="1:5" ht="12.75" customHeight="1">
      <c r="A34" s="91">
        <v>12</v>
      </c>
      <c r="B34" s="25" t="s">
        <v>1075</v>
      </c>
      <c r="C34" s="96">
        <v>9216</v>
      </c>
      <c r="E34" s="29"/>
    </row>
    <row r="35" spans="1:5" ht="25.5">
      <c r="A35" s="91">
        <v>13</v>
      </c>
      <c r="B35" s="78" t="s">
        <v>533</v>
      </c>
      <c r="C35" s="349">
        <v>22800</v>
      </c>
      <c r="E35" s="29"/>
    </row>
    <row r="36" spans="1:5" ht="12.75">
      <c r="A36" s="91">
        <v>14</v>
      </c>
      <c r="B36" s="78" t="s">
        <v>433</v>
      </c>
      <c r="C36" s="48">
        <v>220392.32</v>
      </c>
      <c r="E36" s="29"/>
    </row>
    <row r="37" spans="1:5" ht="25.5" customHeight="1">
      <c r="A37" s="91">
        <v>15</v>
      </c>
      <c r="B37" s="25" t="s">
        <v>528</v>
      </c>
      <c r="C37" s="96">
        <v>3701.7</v>
      </c>
      <c r="E37" s="29"/>
    </row>
    <row r="38" spans="1:5" ht="12.75">
      <c r="A38" s="91">
        <v>16</v>
      </c>
      <c r="B38" s="25" t="s">
        <v>356</v>
      </c>
      <c r="C38" s="349">
        <v>600</v>
      </c>
      <c r="E38" s="29"/>
    </row>
    <row r="39" spans="1:3" ht="12.75">
      <c r="A39" s="50"/>
      <c r="B39" s="20" t="s">
        <v>629</v>
      </c>
      <c r="C39" s="51">
        <f>SUM(C23:C38)</f>
        <v>1221129.31</v>
      </c>
    </row>
    <row r="40" spans="1:3" ht="12.75">
      <c r="A40" s="49"/>
      <c r="B40" s="8" t="s">
        <v>965</v>
      </c>
      <c r="C40" s="45"/>
    </row>
    <row r="41" spans="1:3" ht="12.75">
      <c r="A41" s="84">
        <v>1</v>
      </c>
      <c r="B41" s="9" t="s">
        <v>228</v>
      </c>
      <c r="C41" s="48">
        <f>(C18)*15%</f>
        <v>308825.42850000004</v>
      </c>
    </row>
    <row r="42" spans="1:3" ht="12.75">
      <c r="A42" s="84">
        <v>2</v>
      </c>
      <c r="B42" s="9" t="s">
        <v>813</v>
      </c>
      <c r="C42" s="48">
        <f>C79</f>
        <v>14399.25914447751</v>
      </c>
    </row>
    <row r="43" spans="1:3" ht="12.75">
      <c r="A43" s="84">
        <v>3</v>
      </c>
      <c r="B43" s="9" t="s">
        <v>653</v>
      </c>
      <c r="C43" s="48">
        <f>C80</f>
        <v>15639.729024489247</v>
      </c>
    </row>
    <row r="44" spans="1:3" ht="12.75">
      <c r="A44" s="84">
        <v>4</v>
      </c>
      <c r="B44" s="9" t="s">
        <v>1114</v>
      </c>
      <c r="C44" s="52">
        <f>C81</f>
        <v>31749.27523312176</v>
      </c>
    </row>
    <row r="45" spans="1:3" ht="12.75">
      <c r="A45" s="84">
        <v>5</v>
      </c>
      <c r="B45" s="9" t="s">
        <v>162</v>
      </c>
      <c r="C45" s="52">
        <f>C82</f>
        <v>26761.830595481322</v>
      </c>
    </row>
    <row r="46" spans="1:3" ht="12.75">
      <c r="A46" s="84">
        <v>6</v>
      </c>
      <c r="B46" s="9" t="s">
        <v>1051</v>
      </c>
      <c r="C46" s="48">
        <f>C83+C85+C86+C87+C84</f>
        <v>45414.71338275658</v>
      </c>
    </row>
    <row r="47" spans="1:3" ht="12.75">
      <c r="A47" s="49"/>
      <c r="B47" s="74" t="s">
        <v>809</v>
      </c>
      <c r="C47" s="53"/>
    </row>
    <row r="48" spans="1:3" ht="12.75">
      <c r="A48" s="49"/>
      <c r="B48" s="5" t="s">
        <v>655</v>
      </c>
      <c r="C48" s="53"/>
    </row>
    <row r="49" spans="1:3" ht="12.75">
      <c r="A49" s="49"/>
      <c r="B49" s="74" t="s">
        <v>656</v>
      </c>
      <c r="C49" s="53"/>
    </row>
    <row r="50" spans="1:3" ht="12.75">
      <c r="A50" s="49"/>
      <c r="B50" s="74" t="s">
        <v>808</v>
      </c>
      <c r="C50" s="53"/>
    </row>
    <row r="51" spans="1:3" ht="12.75">
      <c r="A51" s="50"/>
      <c r="B51" s="20" t="s">
        <v>629</v>
      </c>
      <c r="C51" s="51">
        <f>C41+C42+C43+C44+C45+C46</f>
        <v>442790.2358803264</v>
      </c>
    </row>
    <row r="52" spans="1:3" ht="12.75">
      <c r="A52" s="49"/>
      <c r="B52" s="7" t="s">
        <v>966</v>
      </c>
      <c r="C52" s="45"/>
    </row>
    <row r="53" spans="1:3" ht="12.75">
      <c r="A53" s="84">
        <v>1</v>
      </c>
      <c r="B53" s="9" t="s">
        <v>631</v>
      </c>
      <c r="C53" s="48">
        <f>C18*2%</f>
        <v>41176.72380000001</v>
      </c>
    </row>
    <row r="54" spans="1:3" ht="12.75">
      <c r="A54" s="84">
        <v>2</v>
      </c>
      <c r="B54" s="9" t="s">
        <v>391</v>
      </c>
      <c r="C54" s="48">
        <f>C55</f>
        <v>121059.567972</v>
      </c>
    </row>
    <row r="55" spans="1:4" ht="12.75">
      <c r="A55" s="49"/>
      <c r="B55" s="5" t="s">
        <v>334</v>
      </c>
      <c r="C55" s="41">
        <f>(C18-C53)*6%</f>
        <v>121059.567972</v>
      </c>
      <c r="D55" s="19"/>
    </row>
    <row r="56" spans="1:3" ht="13.5" thickBot="1">
      <c r="A56" s="54"/>
      <c r="B56" s="55" t="s">
        <v>967</v>
      </c>
      <c r="C56" s="56">
        <f>C53+C54</f>
        <v>162236.29177200003</v>
      </c>
    </row>
    <row r="57" spans="1:3" ht="12.75">
      <c r="A57" s="23"/>
      <c r="B57" s="4" t="s">
        <v>288</v>
      </c>
      <c r="C57" s="11">
        <f>C39+C51+C56</f>
        <v>1826155.8376523266</v>
      </c>
    </row>
    <row r="58" spans="1:3" ht="12.75">
      <c r="A58" s="23"/>
      <c r="B58" s="77"/>
      <c r="C58" s="1"/>
    </row>
    <row r="59" spans="1:3" ht="15">
      <c r="A59" s="23"/>
      <c r="B59" s="14" t="s">
        <v>975</v>
      </c>
      <c r="C59" s="1">
        <v>405237.87</v>
      </c>
    </row>
    <row r="60" spans="1:3" ht="15">
      <c r="A60" s="23"/>
      <c r="B60" s="14" t="s">
        <v>94</v>
      </c>
      <c r="C60" s="11">
        <f>C18+C59-C57</f>
        <v>637918.2223476735</v>
      </c>
    </row>
    <row r="61" ht="12.75">
      <c r="B61" s="1" t="s">
        <v>85</v>
      </c>
    </row>
    <row r="62" ht="17.25" customHeight="1">
      <c r="B62" s="1" t="s">
        <v>1197</v>
      </c>
    </row>
    <row r="63" spans="1:4" ht="12.75">
      <c r="A63" s="2"/>
      <c r="B63" s="2"/>
      <c r="C63" s="2" t="s">
        <v>790</v>
      </c>
      <c r="D63" s="2"/>
    </row>
    <row r="64" spans="1:4" ht="12.75">
      <c r="A64" s="2"/>
      <c r="B64" s="2"/>
      <c r="C64" s="2" t="s">
        <v>518</v>
      </c>
      <c r="D64" s="2"/>
    </row>
    <row r="65" spans="1:5" ht="13.5" thickBot="1">
      <c r="A65" s="37"/>
      <c r="B65" s="37" t="s">
        <v>969</v>
      </c>
      <c r="C65" s="32" t="s">
        <v>886</v>
      </c>
      <c r="D65" s="114">
        <f>C8+C9</f>
        <v>7669.400000000001</v>
      </c>
      <c r="E65" t="s">
        <v>116</v>
      </c>
    </row>
    <row r="66" spans="1:5" ht="12.75">
      <c r="A66" s="60" t="s">
        <v>218</v>
      </c>
      <c r="B66" s="39" t="s">
        <v>165</v>
      </c>
      <c r="C66" s="47">
        <v>547240.11</v>
      </c>
      <c r="D66" s="15"/>
      <c r="E66" s="21"/>
    </row>
    <row r="67" spans="1:5" ht="12.75">
      <c r="A67" s="61"/>
      <c r="B67" s="6" t="s">
        <v>118</v>
      </c>
      <c r="C67" s="41"/>
      <c r="D67" s="15"/>
      <c r="E67" s="21"/>
    </row>
    <row r="68" spans="1:5" ht="12.75">
      <c r="A68" s="62" t="s">
        <v>166</v>
      </c>
      <c r="B68" s="6" t="s">
        <v>380</v>
      </c>
      <c r="C68" s="41">
        <v>11581</v>
      </c>
      <c r="D68" s="15"/>
      <c r="E68" s="15"/>
    </row>
    <row r="69" spans="1:5" ht="12.75">
      <c r="A69" s="62" t="s">
        <v>166</v>
      </c>
      <c r="B69" s="6" t="s">
        <v>634</v>
      </c>
      <c r="C69" s="41">
        <v>80922.33</v>
      </c>
      <c r="D69" s="15"/>
      <c r="E69" s="15"/>
    </row>
    <row r="70" spans="1:5" ht="12.75">
      <c r="A70" s="62" t="s">
        <v>166</v>
      </c>
      <c r="B70" s="6" t="s">
        <v>530</v>
      </c>
      <c r="C70" s="41">
        <v>23031.04</v>
      </c>
      <c r="D70" s="15"/>
      <c r="E70" s="15"/>
    </row>
    <row r="71" spans="1:5" ht="12.75">
      <c r="A71" s="62" t="s">
        <v>166</v>
      </c>
      <c r="B71" s="6" t="s">
        <v>277</v>
      </c>
      <c r="C71" s="41">
        <v>42000</v>
      </c>
      <c r="D71" s="15"/>
      <c r="E71" s="15"/>
    </row>
    <row r="72" spans="1:5" ht="13.5" thickBot="1">
      <c r="A72" s="63" t="s">
        <v>166</v>
      </c>
      <c r="B72" s="42" t="s">
        <v>531</v>
      </c>
      <c r="C72" s="46">
        <v>8317.42</v>
      </c>
      <c r="D72" s="15"/>
      <c r="E72" s="15"/>
    </row>
    <row r="73" spans="1:5" ht="12.75">
      <c r="A73" s="60" t="s">
        <v>328</v>
      </c>
      <c r="B73" s="39" t="s">
        <v>343</v>
      </c>
      <c r="C73" s="47">
        <v>24174.43</v>
      </c>
      <c r="D73" s="15"/>
      <c r="E73" s="12"/>
    </row>
    <row r="74" spans="1:5" ht="12.75">
      <c r="A74" s="61"/>
      <c r="B74" s="6" t="s">
        <v>118</v>
      </c>
      <c r="C74" s="41"/>
      <c r="D74" s="15"/>
      <c r="E74" s="12"/>
    </row>
    <row r="75" spans="1:5" ht="12.75">
      <c r="A75" s="62" t="s">
        <v>166</v>
      </c>
      <c r="B75" s="6" t="s">
        <v>380</v>
      </c>
      <c r="C75" s="41">
        <v>2387</v>
      </c>
      <c r="D75" s="15"/>
      <c r="E75" s="12"/>
    </row>
    <row r="76" spans="1:5" ht="13.5" thickBot="1">
      <c r="A76" s="63" t="s">
        <v>166</v>
      </c>
      <c r="B76" s="42" t="s">
        <v>818</v>
      </c>
      <c r="C76" s="46">
        <v>380.15</v>
      </c>
      <c r="D76" s="15"/>
      <c r="E76" s="15"/>
    </row>
    <row r="77" spans="1:5" ht="12.75">
      <c r="A77" s="300" t="s">
        <v>787</v>
      </c>
      <c r="B77" s="97" t="s">
        <v>1050</v>
      </c>
      <c r="C77" s="82">
        <f>C78+C79+C81+C80+C82+C83+C85+C86+C87+C84</f>
        <v>442790.2358803265</v>
      </c>
      <c r="D77" s="15"/>
      <c r="E77" s="12"/>
    </row>
    <row r="78" spans="1:5" ht="13.5" thickBot="1">
      <c r="A78" s="40" t="s">
        <v>166</v>
      </c>
      <c r="B78" s="6" t="s">
        <v>227</v>
      </c>
      <c r="C78" s="41">
        <f>C41</f>
        <v>308825.42850000004</v>
      </c>
      <c r="D78" s="15"/>
      <c r="E78" s="12"/>
    </row>
    <row r="79" spans="1:5" ht="12.75">
      <c r="A79" s="40" t="s">
        <v>166</v>
      </c>
      <c r="B79" s="6" t="s">
        <v>370</v>
      </c>
      <c r="C79" s="317">
        <f>401410.25/185335.63*C8</f>
        <v>14399.25914447751</v>
      </c>
      <c r="D79" s="375" t="s">
        <v>519</v>
      </c>
      <c r="E79" s="376"/>
    </row>
    <row r="80" spans="1:5" ht="12.75">
      <c r="A80" s="73" t="s">
        <v>166</v>
      </c>
      <c r="B80" s="74" t="s">
        <v>397</v>
      </c>
      <c r="C80" s="317">
        <f>435991.01/185335.63*C8</f>
        <v>15639.729024489247</v>
      </c>
      <c r="D80" s="377" t="s">
        <v>520</v>
      </c>
      <c r="E80" s="378"/>
    </row>
    <row r="81" spans="1:5" ht="12.75">
      <c r="A81" s="71" t="s">
        <v>166</v>
      </c>
      <c r="B81" s="72" t="s">
        <v>416</v>
      </c>
      <c r="C81" s="317">
        <f>1082167/226605.83*C8</f>
        <v>31749.27523312176</v>
      </c>
      <c r="D81" s="379" t="s">
        <v>521</v>
      </c>
      <c r="E81" s="380"/>
    </row>
    <row r="82" spans="1:5" ht="25.5">
      <c r="A82" s="73" t="s">
        <v>166</v>
      </c>
      <c r="B82" s="72" t="s">
        <v>231</v>
      </c>
      <c r="C82" s="318">
        <f>845684.35/242356.05*D65</f>
        <v>26761.830595481322</v>
      </c>
      <c r="D82" s="381" t="s">
        <v>522</v>
      </c>
      <c r="E82" s="382"/>
    </row>
    <row r="83" spans="1:5" ht="12.75">
      <c r="A83" s="73" t="s">
        <v>166</v>
      </c>
      <c r="B83" s="74" t="s">
        <v>808</v>
      </c>
      <c r="C83" s="318">
        <f>642562.44/242356.05*D65</f>
        <v>20334.0018841535</v>
      </c>
      <c r="D83" s="371" t="s">
        <v>523</v>
      </c>
      <c r="E83" s="372"/>
    </row>
    <row r="84" spans="1:5" ht="12.75">
      <c r="A84" s="73" t="s">
        <v>166</v>
      </c>
      <c r="B84" s="74" t="s">
        <v>826</v>
      </c>
      <c r="C84" s="318">
        <f>51615/196822.43*D65</f>
        <v>2011.2345986176476</v>
      </c>
      <c r="D84" s="371" t="s">
        <v>524</v>
      </c>
      <c r="E84" s="372"/>
    </row>
    <row r="85" spans="1:5" ht="12.75">
      <c r="A85" s="73" t="s">
        <v>166</v>
      </c>
      <c r="B85" s="74" t="s">
        <v>655</v>
      </c>
      <c r="C85" s="318">
        <f>129011.28/196822.43*D65</f>
        <v>5027.064805733778</v>
      </c>
      <c r="D85" s="371" t="s">
        <v>525</v>
      </c>
      <c r="E85" s="372"/>
    </row>
    <row r="86" spans="1:5" ht="12.75">
      <c r="A86" s="73" t="s">
        <v>166</v>
      </c>
      <c r="B86" s="74" t="s">
        <v>656</v>
      </c>
      <c r="C86" s="318">
        <f>164128/196822.43*D65</f>
        <v>6395.425984731517</v>
      </c>
      <c r="D86" s="373" t="s">
        <v>526</v>
      </c>
      <c r="E86" s="374"/>
    </row>
    <row r="87" spans="1:5" ht="13.5" thickBot="1">
      <c r="A87" s="75" t="s">
        <v>166</v>
      </c>
      <c r="B87" s="76" t="s">
        <v>809</v>
      </c>
      <c r="C87" s="319">
        <f>298900.58/196822.43*D65</f>
        <v>11646.986109520141</v>
      </c>
      <c r="D87" s="369" t="s">
        <v>527</v>
      </c>
      <c r="E87" s="370"/>
    </row>
    <row r="88" ht="13.5" thickBot="1"/>
    <row r="89" spans="2:5" ht="26.25" thickBot="1">
      <c r="B89" s="143"/>
      <c r="C89" s="205" t="s">
        <v>104</v>
      </c>
      <c r="D89" s="236" t="s">
        <v>306</v>
      </c>
      <c r="E89" s="130" t="s">
        <v>305</v>
      </c>
    </row>
    <row r="90" spans="2:5" ht="13.5" thickBot="1">
      <c r="B90" s="363" t="s">
        <v>361</v>
      </c>
      <c r="C90" s="364"/>
      <c r="D90" s="364"/>
      <c r="E90" s="365"/>
    </row>
    <row r="91" spans="2:5" ht="12.75">
      <c r="B91" s="140" t="s">
        <v>285</v>
      </c>
      <c r="C91" s="234">
        <v>123064.7</v>
      </c>
      <c r="D91" s="218">
        <v>138439.49</v>
      </c>
      <c r="E91" s="44">
        <f>D91-C91</f>
        <v>15374.789999999994</v>
      </c>
    </row>
    <row r="92" spans="2:5" ht="12.75">
      <c r="B92" s="115" t="s">
        <v>637</v>
      </c>
      <c r="C92" s="10">
        <v>74118.88</v>
      </c>
      <c r="D92" s="99">
        <v>83378.33</v>
      </c>
      <c r="E92" s="45">
        <f>D92-C92</f>
        <v>9259.449999999997</v>
      </c>
    </row>
    <row r="93" spans="2:5" ht="12.75">
      <c r="B93" s="115" t="s">
        <v>408</v>
      </c>
      <c r="C93" s="10">
        <v>13054.85</v>
      </c>
      <c r="D93" s="99">
        <v>14682.99</v>
      </c>
      <c r="E93" s="45">
        <f>D93-C93</f>
        <v>1628.1399999999994</v>
      </c>
    </row>
    <row r="94" spans="2:5" ht="12.75">
      <c r="B94" s="116" t="s">
        <v>294</v>
      </c>
      <c r="C94" s="67">
        <v>16530</v>
      </c>
      <c r="D94" s="101">
        <v>24884.78</v>
      </c>
      <c r="E94" s="45">
        <f>D94-C94</f>
        <v>8354.779999999999</v>
      </c>
    </row>
    <row r="95" spans="2:5" ht="13.5" thickBot="1">
      <c r="B95" s="157" t="s">
        <v>232</v>
      </c>
      <c r="C95" s="225">
        <v>27279.97</v>
      </c>
      <c r="D95" s="235">
        <v>27279.97</v>
      </c>
      <c r="E95" s="46">
        <f>D95-C95</f>
        <v>0</v>
      </c>
    </row>
    <row r="96" spans="2:5" ht="13.5" thickBot="1">
      <c r="B96" s="120"/>
      <c r="C96" s="257">
        <f>SUM(C91:C95)</f>
        <v>254048.40000000002</v>
      </c>
      <c r="D96" s="257">
        <f>SUM(D91:D95)</f>
        <v>288665.56</v>
      </c>
      <c r="E96" s="210">
        <f>SUM(E91:E95)</f>
        <v>34617.15999999999</v>
      </c>
    </row>
    <row r="97" spans="2:5" ht="13.5" thickBot="1">
      <c r="B97" s="363" t="s">
        <v>224</v>
      </c>
      <c r="C97" s="364"/>
      <c r="D97" s="364"/>
      <c r="E97" s="365"/>
    </row>
    <row r="98" spans="2:5" ht="12.75">
      <c r="B98" s="140" t="s">
        <v>285</v>
      </c>
      <c r="C98" s="234">
        <v>314706.51</v>
      </c>
      <c r="D98" s="218">
        <v>413847.59</v>
      </c>
      <c r="E98" s="44">
        <f>D98-C98</f>
        <v>99141.08000000002</v>
      </c>
    </row>
    <row r="99" spans="2:5" ht="12.75">
      <c r="B99" s="115" t="s">
        <v>637</v>
      </c>
      <c r="C99" s="10">
        <v>146956.54</v>
      </c>
      <c r="D99" s="99">
        <v>187952.15</v>
      </c>
      <c r="E99" s="45">
        <f>D99-C99</f>
        <v>40995.609999999986</v>
      </c>
    </row>
    <row r="100" spans="2:5" ht="12.75">
      <c r="B100" s="115" t="s">
        <v>414</v>
      </c>
      <c r="C100" s="10">
        <v>17244.49</v>
      </c>
      <c r="D100" s="99">
        <v>17595.32</v>
      </c>
      <c r="E100" s="45">
        <f>D100-C100</f>
        <v>350.8299999999981</v>
      </c>
    </row>
    <row r="101" spans="2:5" ht="13.5" thickBot="1">
      <c r="B101" s="157" t="s">
        <v>232</v>
      </c>
      <c r="C101" s="225">
        <v>118295.42</v>
      </c>
      <c r="D101" s="235">
        <v>110366.77</v>
      </c>
      <c r="E101" s="46">
        <f>D101-C101</f>
        <v>-7928.649999999994</v>
      </c>
    </row>
    <row r="102" spans="2:5" ht="13.5" thickBot="1">
      <c r="B102" s="120"/>
      <c r="C102" s="257">
        <f>SUM(C98:C101)</f>
        <v>597202.9600000001</v>
      </c>
      <c r="D102" s="257">
        <f>SUM(D98:D101)</f>
        <v>729761.83</v>
      </c>
      <c r="E102" s="210">
        <f>SUM(E98:E101)</f>
        <v>132558.87</v>
      </c>
    </row>
    <row r="103" spans="2:5" ht="13.5" thickBot="1">
      <c r="B103" s="363" t="s">
        <v>303</v>
      </c>
      <c r="C103" s="364"/>
      <c r="D103" s="364"/>
      <c r="E103" s="365"/>
    </row>
    <row r="104" spans="2:5" ht="12.75">
      <c r="B104" s="140" t="s">
        <v>285</v>
      </c>
      <c r="C104" s="234">
        <v>642684.49</v>
      </c>
      <c r="D104" s="218">
        <v>737439.1</v>
      </c>
      <c r="E104" s="253">
        <f>D104-C104</f>
        <v>94754.60999999999</v>
      </c>
    </row>
    <row r="105" spans="2:5" ht="12.75">
      <c r="B105" s="115" t="s">
        <v>637</v>
      </c>
      <c r="C105" s="10">
        <v>222467.96</v>
      </c>
      <c r="D105" s="99">
        <v>250478.05</v>
      </c>
      <c r="E105" s="53">
        <f>D105-C105</f>
        <v>28010.089999999997</v>
      </c>
    </row>
    <row r="106" spans="2:5" ht="12.75">
      <c r="B106" s="115" t="s">
        <v>232</v>
      </c>
      <c r="C106" s="125">
        <v>115464.04</v>
      </c>
      <c r="D106" s="125">
        <v>159108.51</v>
      </c>
      <c r="E106" s="81">
        <f>D106-C106</f>
        <v>43644.470000000016</v>
      </c>
    </row>
    <row r="107" spans="2:5" ht="12.75">
      <c r="B107" s="220" t="s">
        <v>364</v>
      </c>
      <c r="C107" s="125">
        <v>60344.61</v>
      </c>
      <c r="D107" s="125">
        <v>76262.84</v>
      </c>
      <c r="E107" s="81">
        <f>D107-C107</f>
        <v>15918.229999999996</v>
      </c>
    </row>
    <row r="108" spans="2:5" ht="13.5" thickBot="1">
      <c r="B108" s="157" t="s">
        <v>377</v>
      </c>
      <c r="C108" s="142">
        <v>162000</v>
      </c>
      <c r="D108" s="142">
        <v>162000</v>
      </c>
      <c r="E108" s="85">
        <v>0</v>
      </c>
    </row>
    <row r="109" spans="2:5" ht="13.5" thickBot="1">
      <c r="B109" s="187"/>
      <c r="C109" s="254">
        <f>SUM(C104:C108)</f>
        <v>1202961.1</v>
      </c>
      <c r="D109" s="254">
        <f>SUM(D104:D108)</f>
        <v>1385288.5</v>
      </c>
      <c r="E109" s="254">
        <f>SUM(E104:E108)</f>
        <v>182327.39999999997</v>
      </c>
    </row>
    <row r="110" spans="2:5" ht="13.5" thickBot="1">
      <c r="B110" s="363" t="s">
        <v>409</v>
      </c>
      <c r="C110" s="364"/>
      <c r="D110" s="364"/>
      <c r="E110" s="365"/>
    </row>
    <row r="111" spans="2:5" ht="12.75">
      <c r="B111" s="140" t="s">
        <v>285</v>
      </c>
      <c r="C111" s="234">
        <v>815163.94</v>
      </c>
      <c r="D111" s="218">
        <v>803214.9</v>
      </c>
      <c r="E111" s="253">
        <f>D111-C111</f>
        <v>-11949.03999999992</v>
      </c>
    </row>
    <row r="112" spans="2:5" ht="12.75">
      <c r="B112" s="115" t="s">
        <v>637</v>
      </c>
      <c r="C112" s="10">
        <v>287793.43</v>
      </c>
      <c r="D112" s="99">
        <v>284468.76</v>
      </c>
      <c r="E112" s="53">
        <f>D112-C112</f>
        <v>-3324.6699999999837</v>
      </c>
    </row>
    <row r="113" spans="2:5" ht="12.75">
      <c r="B113" s="115" t="s">
        <v>232</v>
      </c>
      <c r="C113" s="125">
        <v>403749.85</v>
      </c>
      <c r="D113" s="125">
        <v>387176.01</v>
      </c>
      <c r="E113" s="81">
        <f>D113-C113</f>
        <v>-16573.839999999967</v>
      </c>
    </row>
    <row r="114" spans="2:5" ht="12.75">
      <c r="B114" s="220" t="s">
        <v>364</v>
      </c>
      <c r="C114" s="125">
        <v>87470.82</v>
      </c>
      <c r="D114" s="125">
        <v>86611.92</v>
      </c>
      <c r="E114" s="81">
        <f>D114-C114</f>
        <v>-858.9000000000087</v>
      </c>
    </row>
    <row r="115" spans="2:5" ht="12.75">
      <c r="B115" s="115" t="s">
        <v>377</v>
      </c>
      <c r="C115" s="125">
        <v>173542.5</v>
      </c>
      <c r="D115" s="125">
        <v>181606.5</v>
      </c>
      <c r="E115" s="81">
        <f>D115-C115</f>
        <v>8064</v>
      </c>
    </row>
    <row r="116" spans="2:5" ht="13.5" thickBot="1">
      <c r="B116" s="157" t="s">
        <v>1200</v>
      </c>
      <c r="C116" s="142">
        <v>13804.94</v>
      </c>
      <c r="D116" s="142">
        <v>13804.94</v>
      </c>
      <c r="E116" s="85">
        <v>0</v>
      </c>
    </row>
    <row r="117" spans="2:5" ht="13.5" thickBot="1">
      <c r="B117" s="323" t="s">
        <v>820</v>
      </c>
      <c r="C117" s="322">
        <f>SUM(C111:C116)</f>
        <v>1781525.4799999997</v>
      </c>
      <c r="D117" s="119">
        <f>SUM(D111:D116)</f>
        <v>1756883.03</v>
      </c>
      <c r="E117" s="126">
        <f>SUM(E111:E116)</f>
        <v>-24642.44999999988</v>
      </c>
    </row>
    <row r="118" spans="2:5" ht="13.5" thickBot="1">
      <c r="B118" s="363" t="s">
        <v>976</v>
      </c>
      <c r="C118" s="364"/>
      <c r="D118" s="364"/>
      <c r="E118" s="365"/>
    </row>
    <row r="119" spans="2:5" ht="12.75">
      <c r="B119" s="140" t="s">
        <v>285</v>
      </c>
      <c r="C119" s="234">
        <v>891705.49</v>
      </c>
      <c r="D119" s="218">
        <v>948528.69</v>
      </c>
      <c r="E119" s="253">
        <f aca="true" t="shared" si="1" ref="E119:E126">D119-C119</f>
        <v>56823.19999999995</v>
      </c>
    </row>
    <row r="120" spans="2:5" ht="12.75">
      <c r="B120" s="115" t="s">
        <v>637</v>
      </c>
      <c r="C120" s="10">
        <v>304386.24</v>
      </c>
      <c r="D120" s="99">
        <v>322555.19</v>
      </c>
      <c r="E120" s="53">
        <f t="shared" si="1"/>
        <v>18168.95000000001</v>
      </c>
    </row>
    <row r="121" spans="2:5" ht="12.75">
      <c r="B121" s="115" t="s">
        <v>232</v>
      </c>
      <c r="C121" s="125">
        <v>476988.82</v>
      </c>
      <c r="D121" s="125">
        <v>615450.35</v>
      </c>
      <c r="E121" s="81">
        <f t="shared" si="1"/>
        <v>138461.52999999997</v>
      </c>
    </row>
    <row r="122" spans="2:5" ht="12.75">
      <c r="B122" s="220" t="s">
        <v>364</v>
      </c>
      <c r="C122" s="125">
        <v>82743.64</v>
      </c>
      <c r="D122" s="125">
        <v>86809.17</v>
      </c>
      <c r="E122" s="81">
        <f t="shared" si="1"/>
        <v>4065.529999999999</v>
      </c>
    </row>
    <row r="123" spans="2:5" ht="25.5">
      <c r="B123" s="220" t="s">
        <v>388</v>
      </c>
      <c r="C123" s="125">
        <v>162907.5</v>
      </c>
      <c r="D123" s="125">
        <v>253470</v>
      </c>
      <c r="E123" s="81">
        <f t="shared" si="1"/>
        <v>90562.5</v>
      </c>
    </row>
    <row r="124" spans="2:5" ht="12.75">
      <c r="B124" s="115" t="s">
        <v>387</v>
      </c>
      <c r="C124" s="125">
        <v>5000</v>
      </c>
      <c r="D124" s="125">
        <v>5000</v>
      </c>
      <c r="E124" s="81">
        <f t="shared" si="1"/>
        <v>0</v>
      </c>
    </row>
    <row r="125" spans="2:5" ht="12.75">
      <c r="B125" s="115" t="s">
        <v>1200</v>
      </c>
      <c r="C125" s="125">
        <v>5489.31</v>
      </c>
      <c r="D125" s="125">
        <v>5489.31</v>
      </c>
      <c r="E125" s="81">
        <f t="shared" si="1"/>
        <v>0</v>
      </c>
    </row>
    <row r="126" spans="2:5" ht="13.5" thickBot="1">
      <c r="B126" s="157" t="s">
        <v>113</v>
      </c>
      <c r="C126" s="142">
        <v>29554.62</v>
      </c>
      <c r="D126" s="142">
        <v>38050.03</v>
      </c>
      <c r="E126" s="81">
        <f t="shared" si="1"/>
        <v>8495.41</v>
      </c>
    </row>
    <row r="127" spans="2:5" ht="13.5" thickBot="1">
      <c r="B127" s="338" t="s">
        <v>820</v>
      </c>
      <c r="C127" s="135">
        <f>SUM(C119:C126)</f>
        <v>1958775.62</v>
      </c>
      <c r="D127" s="135">
        <f>SUM(D119:D126)</f>
        <v>2275352.7399999998</v>
      </c>
      <c r="E127" s="210">
        <f>SUM(E119:E126)</f>
        <v>316577.11999999994</v>
      </c>
    </row>
    <row r="128" spans="2:5" ht="13.5" thickBot="1">
      <c r="B128" s="418" t="s">
        <v>87</v>
      </c>
      <c r="C128" s="419"/>
      <c r="D128" s="419"/>
      <c r="E128" s="420"/>
    </row>
    <row r="129" spans="2:5" ht="12.75">
      <c r="B129" s="140" t="s">
        <v>285</v>
      </c>
      <c r="C129" s="234">
        <v>892826.36</v>
      </c>
      <c r="D129" s="155">
        <v>1006119.12</v>
      </c>
      <c r="E129" s="253">
        <f aca="true" t="shared" si="2" ref="E129:E134">D129-C129</f>
        <v>113292.76000000001</v>
      </c>
    </row>
    <row r="130" spans="2:5" ht="12.75">
      <c r="B130" s="115" t="s">
        <v>637</v>
      </c>
      <c r="C130" s="10">
        <v>299316.42</v>
      </c>
      <c r="D130" s="34">
        <v>342654.84</v>
      </c>
      <c r="E130" s="53">
        <f t="shared" si="2"/>
        <v>43338.42000000004</v>
      </c>
    </row>
    <row r="131" spans="2:5" ht="12.75">
      <c r="B131" s="116" t="s">
        <v>364</v>
      </c>
      <c r="C131" s="94">
        <v>78307.63</v>
      </c>
      <c r="D131" s="83">
        <v>86959.92</v>
      </c>
      <c r="E131" s="53">
        <f t="shared" si="2"/>
        <v>8652.289999999994</v>
      </c>
    </row>
    <row r="132" spans="2:5" ht="12.75">
      <c r="B132" s="352" t="s">
        <v>415</v>
      </c>
      <c r="C132" s="258">
        <v>5719.3</v>
      </c>
      <c r="D132" s="258">
        <v>1098.54</v>
      </c>
      <c r="E132" s="81">
        <f t="shared" si="2"/>
        <v>-4620.76</v>
      </c>
    </row>
    <row r="133" spans="2:5" ht="12.75">
      <c r="B133" s="116" t="s">
        <v>29</v>
      </c>
      <c r="C133" s="94">
        <f>7200+3600+34650+425.81+121500+14678.71</f>
        <v>182054.52</v>
      </c>
      <c r="D133" s="83">
        <f>7200+3300+34650+425.81+162000+11798.71</f>
        <v>219374.52</v>
      </c>
      <c r="E133" s="81">
        <f t="shared" si="2"/>
        <v>37320</v>
      </c>
    </row>
    <row r="134" spans="2:5" ht="13.5" thickBot="1">
      <c r="B134" s="157" t="s">
        <v>805</v>
      </c>
      <c r="C134" s="225">
        <f>92541.65+23775.22+37232.18+49984.74+16104.35+9865.65+3678.57+159900.16+13534.94+188135.65+5858.85</f>
        <v>600611.96</v>
      </c>
      <c r="D134" s="226">
        <f>80375.83+20346.23+3744.04+46645.5+44211.54-7163.34+10403.53+3744.04+11733.08+393885.76-20148.75</f>
        <v>587777.46</v>
      </c>
      <c r="E134" s="262">
        <f t="shared" si="2"/>
        <v>-12834.5</v>
      </c>
    </row>
    <row r="135" spans="2:5" ht="13.5" thickBot="1">
      <c r="B135" s="187"/>
      <c r="C135" s="254">
        <f>SUM(C129:C134)</f>
        <v>2058836.1900000002</v>
      </c>
      <c r="D135" s="255">
        <f>SUM(D129:D134)</f>
        <v>2243984.4</v>
      </c>
      <c r="E135" s="256">
        <f>SUM(E129:E134)</f>
        <v>185148.21000000002</v>
      </c>
    </row>
    <row r="136" spans="2:5" ht="13.5" thickBot="1">
      <c r="B136" s="428" t="s">
        <v>379</v>
      </c>
      <c r="C136" s="429"/>
      <c r="D136" s="429"/>
      <c r="E136" s="430"/>
    </row>
    <row r="137" spans="2:5" ht="13.5" thickBot="1">
      <c r="B137" s="153"/>
      <c r="C137" s="117">
        <f>C102+C109+C96+C117+C127+C135</f>
        <v>7853349.75</v>
      </c>
      <c r="D137" s="117">
        <f>D102+D109+D96+D117+D127+D135</f>
        <v>8679936.06</v>
      </c>
      <c r="E137" s="117">
        <f>E102+E109+E96+E117+E127+E135</f>
        <v>826586.31</v>
      </c>
    </row>
  </sheetData>
  <sheetProtection/>
  <mergeCells count="29">
    <mergeCell ref="B90:E90"/>
    <mergeCell ref="B97:E97"/>
    <mergeCell ref="B103:E103"/>
    <mergeCell ref="B110:E110"/>
    <mergeCell ref="B118:E118"/>
    <mergeCell ref="B136:E136"/>
    <mergeCell ref="B128:E128"/>
    <mergeCell ref="D82:E82"/>
    <mergeCell ref="D83:E83"/>
    <mergeCell ref="D84:E84"/>
    <mergeCell ref="D85:E85"/>
    <mergeCell ref="D86:E86"/>
    <mergeCell ref="D87:E87"/>
    <mergeCell ref="A19:D19"/>
    <mergeCell ref="A20:D20"/>
    <mergeCell ref="D24:E24"/>
    <mergeCell ref="D79:E79"/>
    <mergeCell ref="D80:E80"/>
    <mergeCell ref="D81:E81"/>
    <mergeCell ref="D31:E31"/>
    <mergeCell ref="D27:E27"/>
    <mergeCell ref="D28:E28"/>
    <mergeCell ref="D29:E29"/>
    <mergeCell ref="D30:E30"/>
    <mergeCell ref="A2:B2"/>
    <mergeCell ref="C2:E2"/>
    <mergeCell ref="C3:E3"/>
    <mergeCell ref="B4:E4"/>
    <mergeCell ref="A6:E6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0.2539062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123</v>
      </c>
      <c r="C7" s="26"/>
      <c r="D7" s="24"/>
    </row>
    <row r="8" spans="1:4" ht="15">
      <c r="A8" s="26"/>
      <c r="B8" s="27" t="s">
        <v>115</v>
      </c>
      <c r="C8" s="350">
        <v>1581.3</v>
      </c>
      <c r="D8" s="92" t="s">
        <v>116</v>
      </c>
    </row>
    <row r="9" spans="1:4" ht="15">
      <c r="A9" s="26"/>
      <c r="B9" s="27" t="s">
        <v>654</v>
      </c>
      <c r="C9" s="93">
        <v>122.1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187614.74</v>
      </c>
      <c r="D12" s="155">
        <v>197183.63</v>
      </c>
      <c r="E12" s="242">
        <f aca="true" t="shared" si="0" ref="E12:E19">D12-C12</f>
        <v>9568.890000000014</v>
      </c>
    </row>
    <row r="13" spans="1:5" ht="12.75">
      <c r="A13" s="84">
        <v>2</v>
      </c>
      <c r="B13" s="5" t="s">
        <v>637</v>
      </c>
      <c r="C13" s="5">
        <v>90998.6</v>
      </c>
      <c r="D13" s="34">
        <v>96111.6</v>
      </c>
      <c r="E13" s="57">
        <f t="shared" si="0"/>
        <v>5113</v>
      </c>
    </row>
    <row r="14" spans="1:5" ht="12.75">
      <c r="A14" s="87">
        <v>3</v>
      </c>
      <c r="B14" s="65" t="s">
        <v>364</v>
      </c>
      <c r="C14" s="65">
        <v>2831.99</v>
      </c>
      <c r="D14" s="70">
        <v>5170.95</v>
      </c>
      <c r="E14" s="57">
        <f t="shared" si="0"/>
        <v>2338.96</v>
      </c>
    </row>
    <row r="15" spans="1:5" ht="12.75">
      <c r="A15" s="84">
        <v>4</v>
      </c>
      <c r="B15" s="65" t="s">
        <v>29</v>
      </c>
      <c r="C15" s="94">
        <f>2400+3600</f>
        <v>6000</v>
      </c>
      <c r="D15" s="83">
        <f>2400+3300</f>
        <v>5700</v>
      </c>
      <c r="E15" s="57">
        <f t="shared" si="0"/>
        <v>-300</v>
      </c>
    </row>
    <row r="16" spans="1:5" ht="12.75">
      <c r="A16" s="84">
        <v>5</v>
      </c>
      <c r="B16" s="5" t="s">
        <v>232</v>
      </c>
      <c r="C16" s="125">
        <v>21100</v>
      </c>
      <c r="D16" s="125">
        <v>27955.27</v>
      </c>
      <c r="E16" s="128">
        <f t="shared" si="0"/>
        <v>6855.27</v>
      </c>
    </row>
    <row r="17" spans="1:5" ht="12.75">
      <c r="A17" s="84">
        <v>6</v>
      </c>
      <c r="B17" s="5" t="s">
        <v>133</v>
      </c>
      <c r="C17" s="122">
        <v>35360.29</v>
      </c>
      <c r="D17" s="122">
        <v>64881.07</v>
      </c>
      <c r="E17" s="128">
        <f t="shared" si="0"/>
        <v>29520.78</v>
      </c>
    </row>
    <row r="18" spans="1:5" ht="12.75">
      <c r="A18" s="84">
        <v>7</v>
      </c>
      <c r="B18" s="105" t="s">
        <v>393</v>
      </c>
      <c r="C18" s="122">
        <v>7201.21</v>
      </c>
      <c r="D18" s="122">
        <v>7485.54</v>
      </c>
      <c r="E18" s="66">
        <f>D18-C18</f>
        <v>284.3299999999999</v>
      </c>
    </row>
    <row r="19" spans="1:5" ht="13.5" thickBot="1">
      <c r="A19" s="84">
        <v>8</v>
      </c>
      <c r="B19" s="105" t="s">
        <v>633</v>
      </c>
      <c r="C19" s="122">
        <v>31079.69</v>
      </c>
      <c r="D19" s="122">
        <v>34156.08</v>
      </c>
      <c r="E19" s="66">
        <f t="shared" si="0"/>
        <v>3076.390000000003</v>
      </c>
    </row>
    <row r="20" spans="1:5" ht="13.5" thickBot="1">
      <c r="A20" s="208"/>
      <c r="B20" s="209"/>
      <c r="C20" s="135">
        <f>SUM(C12:C19)</f>
        <v>382186.51999999996</v>
      </c>
      <c r="D20" s="135">
        <f>SUM(D12:D19)</f>
        <v>438644.14</v>
      </c>
      <c r="E20" s="136">
        <f>SUM(E12:E19)</f>
        <v>56457.62000000001</v>
      </c>
    </row>
    <row r="21" spans="1:5" ht="12.75">
      <c r="A21" s="385" t="s">
        <v>793</v>
      </c>
      <c r="B21" s="386"/>
      <c r="C21" s="386"/>
      <c r="D21" s="386"/>
      <c r="E21" s="108">
        <f>E129</f>
        <v>147338.83999999997</v>
      </c>
    </row>
    <row r="22" spans="1:5" ht="12.75">
      <c r="A22" s="387" t="s">
        <v>794</v>
      </c>
      <c r="B22" s="384"/>
      <c r="C22" s="384"/>
      <c r="D22" s="384"/>
      <c r="E22" s="22">
        <v>255934.57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12.75">
      <c r="A25" s="86">
        <v>1</v>
      </c>
      <c r="B25" s="64" t="s">
        <v>417</v>
      </c>
      <c r="C25" s="80">
        <f>C62</f>
        <v>137906.14</v>
      </c>
      <c r="E25" s="29"/>
    </row>
    <row r="26" spans="1:5" ht="12.75">
      <c r="A26" s="91">
        <v>2</v>
      </c>
      <c r="B26" s="25" t="s">
        <v>344</v>
      </c>
      <c r="C26" s="102">
        <f>C67</f>
        <v>12581.92</v>
      </c>
      <c r="D26" s="388"/>
      <c r="E26" s="389"/>
    </row>
    <row r="27" spans="1:5" ht="12.75">
      <c r="A27" s="84">
        <v>3</v>
      </c>
      <c r="B27" s="9" t="s">
        <v>649</v>
      </c>
      <c r="C27" s="48">
        <v>1872.09</v>
      </c>
      <c r="E27" s="29"/>
    </row>
    <row r="28" spans="1:5" ht="12.75">
      <c r="A28" s="84">
        <v>4</v>
      </c>
      <c r="B28" s="9" t="s">
        <v>122</v>
      </c>
      <c r="C28" s="48">
        <f>(C8*0.55*12)</f>
        <v>10436.58</v>
      </c>
      <c r="E28" s="29"/>
    </row>
    <row r="29" spans="1:5" ht="12.75">
      <c r="A29" s="84">
        <v>5</v>
      </c>
      <c r="B29" s="9" t="s">
        <v>658</v>
      </c>
      <c r="C29" s="79">
        <v>14873.04</v>
      </c>
      <c r="E29" s="29"/>
    </row>
    <row r="30" spans="1:5" ht="12.75">
      <c r="A30" s="91">
        <v>6</v>
      </c>
      <c r="B30" s="25" t="s">
        <v>135</v>
      </c>
      <c r="C30" s="96">
        <v>34769.86</v>
      </c>
      <c r="E30" s="29"/>
    </row>
    <row r="31" spans="1:5" ht="12.75">
      <c r="A31" s="91">
        <v>7</v>
      </c>
      <c r="B31" s="25" t="s">
        <v>420</v>
      </c>
      <c r="C31" s="96">
        <v>600</v>
      </c>
      <c r="E31" s="29"/>
    </row>
    <row r="32" spans="1:5" ht="12.75">
      <c r="A32" s="91">
        <v>8</v>
      </c>
      <c r="B32" s="346" t="s">
        <v>26</v>
      </c>
      <c r="C32" s="96">
        <v>600</v>
      </c>
      <c r="E32" s="29"/>
    </row>
    <row r="33" spans="1:5" ht="25.5">
      <c r="A33" s="91">
        <v>9</v>
      </c>
      <c r="B33" s="25" t="s">
        <v>134</v>
      </c>
      <c r="C33" s="96">
        <v>3950</v>
      </c>
      <c r="E33" s="29"/>
    </row>
    <row r="34" spans="1:5" ht="25.5">
      <c r="A34" s="91">
        <v>10</v>
      </c>
      <c r="B34" s="25" t="s">
        <v>136</v>
      </c>
      <c r="C34" s="96">
        <v>1619.45</v>
      </c>
      <c r="E34" s="29"/>
    </row>
    <row r="35" spans="1:3" ht="12.75">
      <c r="A35" s="50"/>
      <c r="B35" s="20" t="s">
        <v>629</v>
      </c>
      <c r="C35" s="51">
        <f>SUM(C25:C34)</f>
        <v>219209.08000000002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(C20)*15%</f>
        <v>57327.977999999996</v>
      </c>
    </row>
    <row r="38" spans="1:3" ht="12.75">
      <c r="A38" s="84">
        <v>2</v>
      </c>
      <c r="B38" s="9" t="s">
        <v>813</v>
      </c>
      <c r="C38" s="48">
        <f>C74</f>
        <v>3424.8677835179346</v>
      </c>
    </row>
    <row r="39" spans="1:3" ht="12.75">
      <c r="A39" s="84">
        <v>3</v>
      </c>
      <c r="B39" s="9" t="s">
        <v>653</v>
      </c>
      <c r="C39" s="48">
        <f>C75</f>
        <v>3719.9138887271697</v>
      </c>
    </row>
    <row r="40" spans="1:3" ht="12.75">
      <c r="A40" s="84">
        <v>4</v>
      </c>
      <c r="B40" s="9" t="s">
        <v>1114</v>
      </c>
      <c r="C40" s="52">
        <f>C76</f>
        <v>7551.5739250839215</v>
      </c>
    </row>
    <row r="41" spans="1:3" ht="12.75">
      <c r="A41" s="84">
        <v>5</v>
      </c>
      <c r="B41" s="9" t="s">
        <v>162</v>
      </c>
      <c r="C41" s="52">
        <f>C77</f>
        <v>5943.89420767503</v>
      </c>
    </row>
    <row r="42" spans="1:3" ht="12.75">
      <c r="A42" s="84">
        <v>6</v>
      </c>
      <c r="B42" s="9" t="s">
        <v>1051</v>
      </c>
      <c r="C42" s="48">
        <f>C78+C80+C81+C82+C79</f>
        <v>10086.763342137267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88054.99114714132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C20*2%</f>
        <v>7643.7303999999995</v>
      </c>
    </row>
    <row r="50" spans="1:3" ht="12.75">
      <c r="A50" s="84">
        <v>2</v>
      </c>
      <c r="B50" s="9" t="s">
        <v>391</v>
      </c>
      <c r="C50" s="48">
        <f>C51</f>
        <v>22472.567375999995</v>
      </c>
    </row>
    <row r="51" spans="1:4" ht="12.75">
      <c r="A51" s="49"/>
      <c r="B51" s="5" t="s">
        <v>334</v>
      </c>
      <c r="C51" s="41">
        <f>(C20-C49)*6%</f>
        <v>22472.567375999995</v>
      </c>
      <c r="D51" s="19"/>
    </row>
    <row r="52" spans="1:3" ht="13.5" thickBot="1">
      <c r="A52" s="54"/>
      <c r="B52" s="55" t="s">
        <v>967</v>
      </c>
      <c r="C52" s="56">
        <f>C49+C50</f>
        <v>30116.297775999996</v>
      </c>
    </row>
    <row r="53" spans="1:3" ht="12.75">
      <c r="A53" s="23"/>
      <c r="B53" s="4" t="s">
        <v>288</v>
      </c>
      <c r="C53" s="11">
        <f>C35+C47+C52</f>
        <v>337380.36892314133</v>
      </c>
    </row>
    <row r="54" spans="1:3" ht="12.75">
      <c r="A54" s="23"/>
      <c r="B54" s="77"/>
      <c r="C54" s="1"/>
    </row>
    <row r="55" spans="1:3" ht="15">
      <c r="A55" s="23"/>
      <c r="B55" s="14" t="s">
        <v>975</v>
      </c>
      <c r="C55" s="11">
        <v>50374.44</v>
      </c>
    </row>
    <row r="56" spans="1:3" ht="15">
      <c r="A56" s="23"/>
      <c r="B56" s="14" t="s">
        <v>94</v>
      </c>
      <c r="C56" s="11">
        <f>C20+C55-C53</f>
        <v>95180.59107685863</v>
      </c>
    </row>
    <row r="57" ht="12.75">
      <c r="B57" s="1" t="s">
        <v>85</v>
      </c>
    </row>
    <row r="58" ht="12.75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426</v>
      </c>
      <c r="D60" s="2"/>
    </row>
    <row r="61" spans="1:5" ht="13.5" thickBot="1">
      <c r="A61" s="37"/>
      <c r="B61" s="37" t="s">
        <v>969</v>
      </c>
      <c r="C61" s="32" t="s">
        <v>886</v>
      </c>
      <c r="D61" s="211">
        <f>C8+C9</f>
        <v>1703.3999999999999</v>
      </c>
      <c r="E61" t="s">
        <v>116</v>
      </c>
    </row>
    <row r="62" spans="1:5" ht="12.75">
      <c r="A62" s="60" t="s">
        <v>218</v>
      </c>
      <c r="B62" s="39" t="s">
        <v>286</v>
      </c>
      <c r="C62" s="47">
        <v>137906.14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1250</v>
      </c>
      <c r="D64" s="15"/>
      <c r="E64" s="15"/>
    </row>
    <row r="65" spans="1:5" ht="12.75">
      <c r="A65" s="62" t="s">
        <v>166</v>
      </c>
      <c r="B65" s="6" t="s">
        <v>277</v>
      </c>
      <c r="C65" s="41">
        <v>3900</v>
      </c>
      <c r="D65" s="15"/>
      <c r="E65" s="15"/>
    </row>
    <row r="66" spans="1:5" ht="13.5" thickBot="1">
      <c r="A66" s="62" t="s">
        <v>166</v>
      </c>
      <c r="B66" s="6" t="s">
        <v>78</v>
      </c>
      <c r="C66" s="41">
        <v>47165.35</v>
      </c>
      <c r="D66" s="15"/>
      <c r="E66" s="15"/>
    </row>
    <row r="67" spans="1:5" ht="12.75">
      <c r="A67" s="60" t="s">
        <v>328</v>
      </c>
      <c r="B67" s="39" t="s">
        <v>343</v>
      </c>
      <c r="C67" s="47">
        <v>12581.92</v>
      </c>
      <c r="D67" s="15"/>
      <c r="E67" s="12"/>
    </row>
    <row r="68" spans="1:5" ht="12.75">
      <c r="A68" s="61"/>
      <c r="B68" s="6" t="s">
        <v>118</v>
      </c>
      <c r="C68" s="41"/>
      <c r="D68" s="15"/>
      <c r="E68" s="12"/>
    </row>
    <row r="69" spans="1:5" ht="12.75">
      <c r="A69" s="62" t="s">
        <v>166</v>
      </c>
      <c r="B69" s="6" t="s">
        <v>380</v>
      </c>
      <c r="C69" s="41">
        <v>33</v>
      </c>
      <c r="D69" s="15"/>
      <c r="E69" s="12"/>
    </row>
    <row r="70" spans="1:5" ht="12.75">
      <c r="A70" s="100"/>
      <c r="B70" s="68" t="s">
        <v>450</v>
      </c>
      <c r="C70" s="69">
        <v>6390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91.04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88054.9911471413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C37</f>
        <v>57327.977999999996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3424.8677835179346</v>
      </c>
      <c r="D74" s="375" t="s">
        <v>124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3719.9138887271697</v>
      </c>
      <c r="D75" s="377" t="s">
        <v>125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7551.5739250839215</v>
      </c>
      <c r="D76" s="379" t="s">
        <v>126</v>
      </c>
      <c r="E76" s="380"/>
    </row>
    <row r="77" spans="1:5" ht="25.5">
      <c r="A77" s="73" t="s">
        <v>166</v>
      </c>
      <c r="B77" s="72" t="s">
        <v>231</v>
      </c>
      <c r="C77" s="318">
        <f>845684.35/242356.05*D61</f>
        <v>5943.89420767503</v>
      </c>
      <c r="D77" s="381" t="s">
        <v>127</v>
      </c>
      <c r="E77" s="382"/>
    </row>
    <row r="78" spans="1:5" ht="12.75">
      <c r="A78" s="73" t="s">
        <v>166</v>
      </c>
      <c r="B78" s="74" t="s">
        <v>808</v>
      </c>
      <c r="C78" s="318">
        <f>642562.44/242356.05*D61</f>
        <v>4516.251442025069</v>
      </c>
      <c r="D78" s="371" t="s">
        <v>128</v>
      </c>
      <c r="E78" s="372"/>
    </row>
    <row r="79" spans="1:5" ht="12.75">
      <c r="A79" s="73" t="s">
        <v>166</v>
      </c>
      <c r="B79" s="74" t="s">
        <v>826</v>
      </c>
      <c r="C79" s="318">
        <f>51615/196822.43*D61</f>
        <v>446.70209081353175</v>
      </c>
      <c r="D79" s="371" t="s">
        <v>129</v>
      </c>
      <c r="E79" s="372"/>
    </row>
    <row r="80" spans="1:5" ht="12.75">
      <c r="A80" s="73" t="s">
        <v>166</v>
      </c>
      <c r="B80" s="74" t="s">
        <v>655</v>
      </c>
      <c r="C80" s="318">
        <f>129011.28/196822.43*D61</f>
        <v>1116.5283060065867</v>
      </c>
      <c r="D80" s="371" t="s">
        <v>130</v>
      </c>
      <c r="E80" s="372"/>
    </row>
    <row r="81" spans="1:5" ht="12.75">
      <c r="A81" s="73" t="s">
        <v>166</v>
      </c>
      <c r="B81" s="74" t="s">
        <v>656</v>
      </c>
      <c r="C81" s="318">
        <f>164128/196822.43*D61</f>
        <v>1420.446009126094</v>
      </c>
      <c r="D81" s="373" t="s">
        <v>131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298900.58/196822.43*D61</f>
        <v>2586.835494165985</v>
      </c>
      <c r="D82" s="369" t="s">
        <v>132</v>
      </c>
      <c r="E82" s="370"/>
    </row>
    <row r="83" ht="13.5" thickBot="1"/>
    <row r="84" spans="2:5" ht="26.25" thickBot="1">
      <c r="B84" s="143"/>
      <c r="C84" s="205" t="s">
        <v>104</v>
      </c>
      <c r="D84" s="236" t="s">
        <v>306</v>
      </c>
      <c r="E84" s="130" t="s">
        <v>305</v>
      </c>
    </row>
    <row r="85" spans="2:5" ht="13.5" thickBot="1">
      <c r="B85" s="363" t="s">
        <v>361</v>
      </c>
      <c r="C85" s="364"/>
      <c r="D85" s="364"/>
      <c r="E85" s="365"/>
    </row>
    <row r="86" spans="2:5" ht="12.75">
      <c r="B86" s="140" t="s">
        <v>285</v>
      </c>
      <c r="C86" s="234">
        <v>83121.43</v>
      </c>
      <c r="D86" s="218">
        <v>100615.15</v>
      </c>
      <c r="E86" s="44">
        <f>D86-C86</f>
        <v>17493.72</v>
      </c>
    </row>
    <row r="87" spans="2:5" ht="12.75">
      <c r="B87" s="115" t="s">
        <v>637</v>
      </c>
      <c r="C87" s="10">
        <v>50060.19</v>
      </c>
      <c r="D87" s="99">
        <v>60597.76</v>
      </c>
      <c r="E87" s="45">
        <f>D87-C87</f>
        <v>10537.57</v>
      </c>
    </row>
    <row r="88" spans="2:5" ht="12.75">
      <c r="B88" s="115" t="s">
        <v>408</v>
      </c>
      <c r="C88" s="10">
        <v>1198.32</v>
      </c>
      <c r="D88" s="99">
        <v>1798.86</v>
      </c>
      <c r="E88" s="45">
        <f>D88-C88</f>
        <v>600.54</v>
      </c>
    </row>
    <row r="89" spans="2:5" ht="13.5" thickBot="1">
      <c r="B89" s="157" t="s">
        <v>232</v>
      </c>
      <c r="C89" s="225">
        <v>6003.2</v>
      </c>
      <c r="D89" s="235">
        <v>8254.4</v>
      </c>
      <c r="E89" s="46">
        <f>D89-C89</f>
        <v>2251.2</v>
      </c>
    </row>
    <row r="90" spans="2:5" ht="13.5" thickBot="1">
      <c r="B90" s="120"/>
      <c r="C90" s="257">
        <f>SUM(C86:C89)</f>
        <v>140383.14</v>
      </c>
      <c r="D90" s="257">
        <f>SUM(D86:D89)</f>
        <v>171266.16999999998</v>
      </c>
      <c r="E90" s="210">
        <f>SUM(E86:E89)</f>
        <v>30883.030000000002</v>
      </c>
    </row>
    <row r="91" spans="2:5" ht="13.5" thickBot="1">
      <c r="B91" s="363" t="s">
        <v>224</v>
      </c>
      <c r="C91" s="364"/>
      <c r="D91" s="364"/>
      <c r="E91" s="365"/>
    </row>
    <row r="92" spans="2:5" ht="12.75">
      <c r="B92" s="140" t="s">
        <v>285</v>
      </c>
      <c r="C92" s="234">
        <v>128041.99</v>
      </c>
      <c r="D92" s="218">
        <v>126131.64</v>
      </c>
      <c r="E92" s="44">
        <f>D92-C92</f>
        <v>-1910.3500000000058</v>
      </c>
    </row>
    <row r="93" spans="2:5" ht="12.75">
      <c r="B93" s="115" t="s">
        <v>637</v>
      </c>
      <c r="C93" s="10">
        <v>70695.06</v>
      </c>
      <c r="D93" s="99">
        <v>68417.02</v>
      </c>
      <c r="E93" s="45">
        <f>D93-C93</f>
        <v>-2278.0399999999936</v>
      </c>
    </row>
    <row r="94" spans="2:5" ht="12.75">
      <c r="B94" s="115" t="s">
        <v>107</v>
      </c>
      <c r="C94" s="10">
        <v>8470.01</v>
      </c>
      <c r="D94" s="99">
        <v>8873.54</v>
      </c>
      <c r="E94" s="45">
        <f>D94-C94</f>
        <v>403.53000000000065</v>
      </c>
    </row>
    <row r="95" spans="2:5" ht="13.5" thickBot="1">
      <c r="B95" s="157" t="s">
        <v>232</v>
      </c>
      <c r="C95" s="225">
        <v>10984.62</v>
      </c>
      <c r="D95" s="235">
        <v>11644.56</v>
      </c>
      <c r="E95" s="46">
        <f>D95-C95</f>
        <v>659.9399999999987</v>
      </c>
    </row>
    <row r="96" spans="2:5" ht="13.5" thickBot="1">
      <c r="B96" s="120"/>
      <c r="C96" s="257">
        <f>SUM(C92:C95)</f>
        <v>218191.68</v>
      </c>
      <c r="D96" s="257">
        <f>SUM(D92:D95)</f>
        <v>215066.76</v>
      </c>
      <c r="E96" s="210">
        <f>SUM(E92:E95)</f>
        <v>-3124.92</v>
      </c>
    </row>
    <row r="97" spans="2:5" ht="13.5" thickBot="1">
      <c r="B97" s="363" t="s">
        <v>303</v>
      </c>
      <c r="C97" s="364"/>
      <c r="D97" s="364"/>
      <c r="E97" s="365"/>
    </row>
    <row r="98" spans="2:5" ht="12.75">
      <c r="B98" s="140" t="s">
        <v>285</v>
      </c>
      <c r="C98" s="234">
        <v>161697.62</v>
      </c>
      <c r="D98" s="218">
        <v>166225.68</v>
      </c>
      <c r="E98" s="253">
        <f>D98-C98</f>
        <v>4528.059999999998</v>
      </c>
    </row>
    <row r="99" spans="2:5" ht="12.75">
      <c r="B99" s="115" t="s">
        <v>637</v>
      </c>
      <c r="C99" s="10">
        <v>79297.81</v>
      </c>
      <c r="D99" s="99">
        <v>80820.07</v>
      </c>
      <c r="E99" s="53">
        <f>D99-C99</f>
        <v>1522.2600000000093</v>
      </c>
    </row>
    <row r="100" spans="2:5" ht="12.75">
      <c r="B100" s="115" t="s">
        <v>232</v>
      </c>
      <c r="C100" s="125">
        <v>14079.82</v>
      </c>
      <c r="D100" s="125">
        <v>15359.28</v>
      </c>
      <c r="E100" s="81">
        <f>D100-C100</f>
        <v>1279.460000000001</v>
      </c>
    </row>
    <row r="101" spans="2:5" ht="12.75">
      <c r="B101" s="116" t="s">
        <v>633</v>
      </c>
      <c r="C101" s="258">
        <v>18231.7</v>
      </c>
      <c r="D101" s="258">
        <v>19730.14</v>
      </c>
      <c r="E101" s="81">
        <f>D101-C101</f>
        <v>1498.4399999999987</v>
      </c>
    </row>
    <row r="102" spans="2:5" ht="26.25" thickBot="1">
      <c r="B102" s="156" t="s">
        <v>119</v>
      </c>
      <c r="C102" s="142">
        <v>2500</v>
      </c>
      <c r="D102" s="142">
        <v>2500</v>
      </c>
      <c r="E102" s="85">
        <f>D102-C102</f>
        <v>0</v>
      </c>
    </row>
    <row r="103" spans="2:5" ht="13.5" thickBot="1">
      <c r="B103" s="187"/>
      <c r="C103" s="254">
        <f>SUM(C98:C102)</f>
        <v>275806.95</v>
      </c>
      <c r="D103" s="255">
        <f>SUM(D98:D102)</f>
        <v>284635.17000000004</v>
      </c>
      <c r="E103" s="256">
        <f>SUM(E98:E102)</f>
        <v>8828.220000000007</v>
      </c>
    </row>
    <row r="104" spans="2:5" ht="13.5" thickBot="1">
      <c r="B104" s="418" t="s">
        <v>409</v>
      </c>
      <c r="C104" s="419"/>
      <c r="D104" s="419"/>
      <c r="E104" s="420"/>
    </row>
    <row r="105" spans="2:5" ht="12.75">
      <c r="B105" s="140" t="s">
        <v>285</v>
      </c>
      <c r="C105" s="234">
        <v>150691.45</v>
      </c>
      <c r="D105" s="218">
        <v>166225.68</v>
      </c>
      <c r="E105" s="253">
        <f>D105-C105</f>
        <v>15534.229999999981</v>
      </c>
    </row>
    <row r="106" spans="2:5" ht="12.75">
      <c r="B106" s="115" t="s">
        <v>637</v>
      </c>
      <c r="C106" s="10">
        <v>75014.85</v>
      </c>
      <c r="D106" s="99">
        <v>80820.07</v>
      </c>
      <c r="E106" s="53">
        <f>D106-C106</f>
        <v>5805.220000000001</v>
      </c>
    </row>
    <row r="107" spans="2:5" ht="12.75">
      <c r="B107" s="115" t="s">
        <v>633</v>
      </c>
      <c r="C107" s="125">
        <v>26866.13</v>
      </c>
      <c r="D107" s="125">
        <v>25966.8</v>
      </c>
      <c r="E107" s="81">
        <f>D107-C107</f>
        <v>-899.3300000000017</v>
      </c>
    </row>
    <row r="108" spans="2:5" ht="13.5" thickBot="1">
      <c r="B108" s="157" t="s">
        <v>232</v>
      </c>
      <c r="C108" s="142">
        <v>10239.89</v>
      </c>
      <c r="D108" s="142">
        <v>15359.28</v>
      </c>
      <c r="E108" s="85">
        <f>D108-C108</f>
        <v>5119.390000000001</v>
      </c>
    </row>
    <row r="109" spans="2:5" ht="13.5" thickBot="1">
      <c r="B109" s="324"/>
      <c r="C109" s="119">
        <f>SUM(C98:C108)</f>
        <v>814426.2200000001</v>
      </c>
      <c r="D109" s="119">
        <f>SUM(D98:D108)</f>
        <v>857642.1700000002</v>
      </c>
      <c r="E109" s="119">
        <f>SUM(E98:E108)</f>
        <v>43215.95</v>
      </c>
    </row>
    <row r="110" spans="2:5" ht="13.5" thickBot="1">
      <c r="B110" s="363" t="s">
        <v>976</v>
      </c>
      <c r="C110" s="364"/>
      <c r="D110" s="364"/>
      <c r="E110" s="365"/>
    </row>
    <row r="111" spans="2:5" ht="12.75">
      <c r="B111" s="140" t="s">
        <v>285</v>
      </c>
      <c r="C111" s="141">
        <v>202115.48</v>
      </c>
      <c r="D111" s="155">
        <v>203811.36</v>
      </c>
      <c r="E111" s="253">
        <f aca="true" t="shared" si="1" ref="E111:E116">D111-C111</f>
        <v>1695.8799999999756</v>
      </c>
    </row>
    <row r="112" spans="2:5" ht="12.75">
      <c r="B112" s="115" t="s">
        <v>637</v>
      </c>
      <c r="C112" s="5">
        <v>98750.77</v>
      </c>
      <c r="D112" s="33">
        <v>99106.56</v>
      </c>
      <c r="E112" s="53">
        <f t="shared" si="1"/>
        <v>355.7899999999936</v>
      </c>
    </row>
    <row r="113" spans="2:5" ht="12.75">
      <c r="B113" s="115" t="s">
        <v>423</v>
      </c>
      <c r="C113" s="65">
        <v>2363.55</v>
      </c>
      <c r="D113" s="70">
        <v>3025</v>
      </c>
      <c r="E113" s="53">
        <f t="shared" si="1"/>
        <v>661.4499999999998</v>
      </c>
    </row>
    <row r="114" spans="2:5" ht="12.75">
      <c r="B114" s="278" t="s">
        <v>792</v>
      </c>
      <c r="C114" s="122">
        <v>900</v>
      </c>
      <c r="D114" s="122">
        <v>1400</v>
      </c>
      <c r="E114" s="81">
        <f t="shared" si="1"/>
        <v>500</v>
      </c>
    </row>
    <row r="115" spans="2:5" ht="12.75">
      <c r="B115" s="115" t="s">
        <v>232</v>
      </c>
      <c r="C115" s="125">
        <v>9398.85</v>
      </c>
      <c r="D115" s="125">
        <v>17264.67</v>
      </c>
      <c r="E115" s="81">
        <f t="shared" si="1"/>
        <v>7865.819999999998</v>
      </c>
    </row>
    <row r="116" spans="2:5" ht="13.5" thickBot="1">
      <c r="B116" s="157" t="s">
        <v>1200</v>
      </c>
      <c r="C116" s="229">
        <v>2649.49</v>
      </c>
      <c r="D116" s="229">
        <v>2649.49</v>
      </c>
      <c r="E116" s="262">
        <f t="shared" si="1"/>
        <v>0</v>
      </c>
    </row>
    <row r="117" spans="2:5" ht="13.5" thickBot="1">
      <c r="B117" s="324"/>
      <c r="C117" s="119">
        <f>SUM(C111:C116)</f>
        <v>316178.13999999996</v>
      </c>
      <c r="D117" s="119">
        <f>SUM(D111:D116)</f>
        <v>327257.07999999996</v>
      </c>
      <c r="E117" s="119">
        <f>SUM(E111:E116)</f>
        <v>11078.939999999966</v>
      </c>
    </row>
    <row r="118" spans="2:5" ht="13.5" thickBot="1">
      <c r="B118" s="418" t="s">
        <v>77</v>
      </c>
      <c r="C118" s="419"/>
      <c r="D118" s="419"/>
      <c r="E118" s="420"/>
    </row>
    <row r="119" spans="2:5" ht="12.75">
      <c r="B119" s="140" t="s">
        <v>285</v>
      </c>
      <c r="C119" s="141">
        <v>187614.74</v>
      </c>
      <c r="D119" s="155">
        <v>197183.63</v>
      </c>
      <c r="E119" s="253">
        <f aca="true" t="shared" si="2" ref="E119:E126">D119-C119</f>
        <v>9568.890000000014</v>
      </c>
    </row>
    <row r="120" spans="2:5" ht="12.75">
      <c r="B120" s="115" t="s">
        <v>637</v>
      </c>
      <c r="C120" s="5">
        <v>90998.6</v>
      </c>
      <c r="D120" s="34">
        <v>96111.6</v>
      </c>
      <c r="E120" s="53">
        <f t="shared" si="2"/>
        <v>5113</v>
      </c>
    </row>
    <row r="121" spans="2:5" ht="12.75">
      <c r="B121" s="116" t="s">
        <v>364</v>
      </c>
      <c r="C121" s="65">
        <v>2831.99</v>
      </c>
      <c r="D121" s="70">
        <v>5170.95</v>
      </c>
      <c r="E121" s="53">
        <f>D121-C121</f>
        <v>2338.96</v>
      </c>
    </row>
    <row r="122" spans="2:5" ht="12.75">
      <c r="B122" s="116" t="s">
        <v>29</v>
      </c>
      <c r="C122" s="94">
        <f>2400+3600</f>
        <v>6000</v>
      </c>
      <c r="D122" s="83">
        <f>2400+3300</f>
        <v>5700</v>
      </c>
      <c r="E122" s="81">
        <f>D122-C122</f>
        <v>-300</v>
      </c>
    </row>
    <row r="123" spans="2:5" ht="12.75">
      <c r="B123" s="115" t="s">
        <v>232</v>
      </c>
      <c r="C123" s="125">
        <v>21100</v>
      </c>
      <c r="D123" s="125">
        <v>27955.27</v>
      </c>
      <c r="E123" s="53">
        <f t="shared" si="2"/>
        <v>6855.27</v>
      </c>
    </row>
    <row r="124" spans="2:5" ht="12.75">
      <c r="B124" s="115" t="s">
        <v>133</v>
      </c>
      <c r="C124" s="122">
        <v>35360.29</v>
      </c>
      <c r="D124" s="122">
        <v>64881.07</v>
      </c>
      <c r="E124" s="81">
        <f t="shared" si="2"/>
        <v>29520.78</v>
      </c>
    </row>
    <row r="125" spans="2:5" ht="12.75">
      <c r="B125" s="269" t="s">
        <v>393</v>
      </c>
      <c r="C125" s="122">
        <v>7201.21</v>
      </c>
      <c r="D125" s="122">
        <v>7485.54</v>
      </c>
      <c r="E125" s="81">
        <f t="shared" si="2"/>
        <v>284.3299999999999</v>
      </c>
    </row>
    <row r="126" spans="2:5" ht="13.5" thickBot="1">
      <c r="B126" s="266" t="s">
        <v>633</v>
      </c>
      <c r="C126" s="229">
        <v>31079.69</v>
      </c>
      <c r="D126" s="229">
        <v>34156.08</v>
      </c>
      <c r="E126" s="262">
        <f t="shared" si="2"/>
        <v>3076.390000000003</v>
      </c>
    </row>
    <row r="127" spans="2:5" ht="13.5" thickBot="1">
      <c r="B127" s="324"/>
      <c r="C127" s="119">
        <f>SUM(C119:C126)</f>
        <v>382186.51999999996</v>
      </c>
      <c r="D127" s="119">
        <f>SUM(D119:D126)</f>
        <v>438644.14</v>
      </c>
      <c r="E127" s="119">
        <f>SUM(E119:E126)</f>
        <v>56457.62000000001</v>
      </c>
    </row>
    <row r="128" spans="2:5" ht="13.5" thickBot="1">
      <c r="B128" s="366" t="s">
        <v>379</v>
      </c>
      <c r="C128" s="367"/>
      <c r="D128" s="367"/>
      <c r="E128" s="368"/>
    </row>
    <row r="129" spans="2:5" ht="13.5" thickBot="1">
      <c r="B129" s="153"/>
      <c r="C129" s="117">
        <f>C103+C90+C96+C109+C117+C127</f>
        <v>2147172.65</v>
      </c>
      <c r="D129" s="117">
        <f>D103+D90+D96+D109+D117+D127</f>
        <v>2294511.49</v>
      </c>
      <c r="E129" s="117">
        <f>E103+E90+E96+E109+E117+E127</f>
        <v>147338.83999999997</v>
      </c>
    </row>
  </sheetData>
  <sheetProtection/>
  <mergeCells count="24">
    <mergeCell ref="B91:E91"/>
    <mergeCell ref="B97:E97"/>
    <mergeCell ref="B104:E104"/>
    <mergeCell ref="B110:E110"/>
    <mergeCell ref="B128:E128"/>
    <mergeCell ref="B118:E118"/>
    <mergeCell ref="D78:E78"/>
    <mergeCell ref="D79:E79"/>
    <mergeCell ref="D80:E80"/>
    <mergeCell ref="D81:E81"/>
    <mergeCell ref="D82:E82"/>
    <mergeCell ref="B85:E85"/>
    <mergeCell ref="A22:D22"/>
    <mergeCell ref="D26:E26"/>
    <mergeCell ref="D74:E74"/>
    <mergeCell ref="D75:E75"/>
    <mergeCell ref="D76:E76"/>
    <mergeCell ref="D77:E77"/>
    <mergeCell ref="A2:B2"/>
    <mergeCell ref="C2:E2"/>
    <mergeCell ref="C3:E3"/>
    <mergeCell ref="B4:E4"/>
    <mergeCell ref="A6:E6"/>
    <mergeCell ref="A21:D2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5.625" style="0" customWidth="1"/>
    <col min="3" max="3" width="10.25390625" style="0" customWidth="1"/>
    <col min="4" max="4" width="12.1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137</v>
      </c>
      <c r="C7" s="26"/>
      <c r="D7" s="24"/>
    </row>
    <row r="8" spans="1:4" ht="15">
      <c r="A8" s="26"/>
      <c r="B8" s="27" t="s">
        <v>115</v>
      </c>
      <c r="C8" s="350">
        <v>1727.8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141">
        <v>208708.22</v>
      </c>
      <c r="D11" s="155">
        <v>215770.78</v>
      </c>
      <c r="E11" s="242">
        <f>D11-C11</f>
        <v>7062.559999999998</v>
      </c>
    </row>
    <row r="12" spans="1:5" ht="12.75">
      <c r="A12" s="84">
        <v>2</v>
      </c>
      <c r="B12" s="5" t="s">
        <v>637</v>
      </c>
      <c r="C12" s="5">
        <v>100989.66</v>
      </c>
      <c r="D12" s="34">
        <v>105015.96</v>
      </c>
      <c r="E12" s="57">
        <f>D12-C12</f>
        <v>4026.300000000003</v>
      </c>
    </row>
    <row r="13" spans="1:5" ht="12.75">
      <c r="A13" s="87">
        <v>3</v>
      </c>
      <c r="B13" s="65" t="s">
        <v>364</v>
      </c>
      <c r="C13" s="65">
        <v>3036.44</v>
      </c>
      <c r="D13" s="70">
        <v>5649.93</v>
      </c>
      <c r="E13" s="57">
        <f>D13-C13</f>
        <v>2613.4900000000002</v>
      </c>
    </row>
    <row r="14" spans="1:5" ht="12.75">
      <c r="A14" s="84">
        <v>4</v>
      </c>
      <c r="B14" s="65" t="s">
        <v>29</v>
      </c>
      <c r="C14" s="94">
        <f>2400</f>
        <v>2400</v>
      </c>
      <c r="D14" s="83">
        <f>2400</f>
        <v>2400</v>
      </c>
      <c r="E14" s="57">
        <f>D14-C14</f>
        <v>0</v>
      </c>
    </row>
    <row r="15" spans="1:5" ht="13.5" thickBot="1">
      <c r="A15" s="84">
        <v>5</v>
      </c>
      <c r="B15" s="5" t="s">
        <v>148</v>
      </c>
      <c r="C15" s="122">
        <v>37913.36</v>
      </c>
      <c r="D15" s="122">
        <v>70819.55</v>
      </c>
      <c r="E15" s="128">
        <f>D15-C15</f>
        <v>32906.19</v>
      </c>
    </row>
    <row r="16" spans="1:5" ht="13.5" thickBot="1">
      <c r="A16" s="208"/>
      <c r="B16" s="209"/>
      <c r="C16" s="135">
        <f>SUM(C11:C15)</f>
        <v>353047.68</v>
      </c>
      <c r="D16" s="135">
        <f>SUM(D11:D15)</f>
        <v>399656.22</v>
      </c>
      <c r="E16" s="136">
        <f>SUM(E11:E15)</f>
        <v>46608.54</v>
      </c>
    </row>
    <row r="17" spans="1:5" ht="12.75">
      <c r="A17" s="385" t="s">
        <v>793</v>
      </c>
      <c r="B17" s="386"/>
      <c r="C17" s="386"/>
      <c r="D17" s="386"/>
      <c r="E17" s="108">
        <f>E109</f>
        <v>89500.57</v>
      </c>
    </row>
    <row r="18" spans="1:5" ht="12.75">
      <c r="A18" s="387" t="s">
        <v>794</v>
      </c>
      <c r="B18" s="384"/>
      <c r="C18" s="384"/>
      <c r="D18" s="384"/>
      <c r="E18" s="22">
        <v>270514.06</v>
      </c>
    </row>
    <row r="19" spans="1:2" ht="12.75">
      <c r="A19" s="37"/>
      <c r="B19" s="3" t="s">
        <v>217</v>
      </c>
    </row>
    <row r="20" spans="1:2" ht="13.5" thickBot="1">
      <c r="A20" s="37"/>
      <c r="B20" s="30" t="s">
        <v>964</v>
      </c>
    </row>
    <row r="21" spans="1:5" ht="12.75">
      <c r="A21" s="86">
        <v>1</v>
      </c>
      <c r="B21" s="64" t="s">
        <v>417</v>
      </c>
      <c r="C21" s="80">
        <f>C59</f>
        <v>49778.74</v>
      </c>
      <c r="E21" s="29"/>
    </row>
    <row r="22" spans="1:5" ht="12.75">
      <c r="A22" s="91">
        <v>2</v>
      </c>
      <c r="B22" s="25" t="s">
        <v>344</v>
      </c>
      <c r="C22" s="102">
        <f>C62</f>
        <v>6136.35</v>
      </c>
      <c r="D22" s="388"/>
      <c r="E22" s="389"/>
    </row>
    <row r="23" spans="1:5" ht="12.75">
      <c r="A23" s="84">
        <v>3</v>
      </c>
      <c r="B23" s="9" t="s">
        <v>649</v>
      </c>
      <c r="C23" s="48">
        <v>1901.22</v>
      </c>
      <c r="E23" s="29"/>
    </row>
    <row r="24" spans="1:5" ht="12.75">
      <c r="A24" s="84">
        <v>4</v>
      </c>
      <c r="B24" s="9" t="s">
        <v>122</v>
      </c>
      <c r="C24" s="48">
        <f>(C8*0.55*12)</f>
        <v>11403.480000000001</v>
      </c>
      <c r="E24" s="29"/>
    </row>
    <row r="25" spans="1:5" ht="12.75">
      <c r="A25" s="84">
        <v>5</v>
      </c>
      <c r="B25" s="9" t="s">
        <v>658</v>
      </c>
      <c r="C25" s="79">
        <v>11331.84</v>
      </c>
      <c r="E25" s="29"/>
    </row>
    <row r="26" spans="1:5" ht="12.75">
      <c r="A26" s="91">
        <v>6</v>
      </c>
      <c r="B26" s="25" t="s">
        <v>149</v>
      </c>
      <c r="C26" s="96">
        <v>34769.85</v>
      </c>
      <c r="E26" s="29"/>
    </row>
    <row r="27" spans="1:5" ht="12.75">
      <c r="A27" s="91">
        <v>7</v>
      </c>
      <c r="B27" s="25" t="s">
        <v>420</v>
      </c>
      <c r="C27" s="96">
        <v>600</v>
      </c>
      <c r="E27" s="29"/>
    </row>
    <row r="28" spans="1:5" ht="12.75">
      <c r="A28" s="91">
        <v>8</v>
      </c>
      <c r="B28" s="346" t="s">
        <v>26</v>
      </c>
      <c r="C28" s="96">
        <v>600</v>
      </c>
      <c r="E28" s="29"/>
    </row>
    <row r="29" spans="1:5" ht="25.5">
      <c r="A29" s="91">
        <v>9</v>
      </c>
      <c r="B29" s="25" t="s">
        <v>134</v>
      </c>
      <c r="C29" s="96">
        <v>3950</v>
      </c>
      <c r="E29" s="29"/>
    </row>
    <row r="30" spans="1:5" ht="25.5">
      <c r="A30" s="91">
        <v>10</v>
      </c>
      <c r="B30" s="25" t="s">
        <v>136</v>
      </c>
      <c r="C30" s="96">
        <v>1619.45</v>
      </c>
      <c r="E30" s="29"/>
    </row>
    <row r="31" spans="1:5" ht="25.5">
      <c r="A31" s="91">
        <v>11</v>
      </c>
      <c r="B31" s="25" t="s">
        <v>147</v>
      </c>
      <c r="C31" s="96">
        <v>28330</v>
      </c>
      <c r="E31" s="29"/>
    </row>
    <row r="32" spans="1:3" ht="12.75">
      <c r="A32" s="50"/>
      <c r="B32" s="20" t="s">
        <v>629</v>
      </c>
      <c r="C32" s="51">
        <f>SUM(C21:C31)</f>
        <v>150420.93</v>
      </c>
    </row>
    <row r="33" spans="1:3" ht="12.75">
      <c r="A33" s="49"/>
      <c r="B33" s="8" t="s">
        <v>965</v>
      </c>
      <c r="C33" s="45"/>
    </row>
    <row r="34" spans="1:3" ht="12.75">
      <c r="A34" s="84">
        <v>1</v>
      </c>
      <c r="B34" s="9" t="s">
        <v>228</v>
      </c>
      <c r="C34" s="48">
        <f>(C16)*15%</f>
        <v>52957.151999999995</v>
      </c>
    </row>
    <row r="35" spans="1:3" ht="12.75">
      <c r="A35" s="84">
        <v>2</v>
      </c>
      <c r="B35" s="9" t="s">
        <v>813</v>
      </c>
      <c r="C35" s="48">
        <f>C68</f>
        <v>3742.1656588644073</v>
      </c>
    </row>
    <row r="36" spans="1:3" ht="12.75">
      <c r="A36" s="84">
        <v>3</v>
      </c>
      <c r="B36" s="9" t="s">
        <v>653</v>
      </c>
      <c r="C36" s="48">
        <f>C69</f>
        <v>4064.546396599509</v>
      </c>
    </row>
    <row r="37" spans="1:3" ht="12.75">
      <c r="A37" s="84">
        <v>4</v>
      </c>
      <c r="B37" s="9" t="s">
        <v>1114</v>
      </c>
      <c r="C37" s="52">
        <f>C70</f>
        <v>8251.191695288686</v>
      </c>
    </row>
    <row r="38" spans="1:3" ht="12.75">
      <c r="A38" s="84">
        <v>5</v>
      </c>
      <c r="B38" s="9" t="s">
        <v>162</v>
      </c>
      <c r="C38" s="52">
        <f>C71</f>
        <v>6029.03628743743</v>
      </c>
    </row>
    <row r="39" spans="1:3" ht="12.75">
      <c r="A39" s="84">
        <v>6</v>
      </c>
      <c r="B39" s="9" t="s">
        <v>1051</v>
      </c>
      <c r="C39" s="48">
        <f>C72+C74+C75+C76+C73</f>
        <v>10231.24909154912</v>
      </c>
    </row>
    <row r="40" spans="1:3" ht="12.75">
      <c r="A40" s="49"/>
      <c r="B40" s="74" t="s">
        <v>809</v>
      </c>
      <c r="C40" s="53"/>
    </row>
    <row r="41" spans="1:3" ht="12.75">
      <c r="A41" s="49"/>
      <c r="B41" s="5" t="s">
        <v>655</v>
      </c>
      <c r="C41" s="53"/>
    </row>
    <row r="42" spans="1:3" ht="12.75">
      <c r="A42" s="49"/>
      <c r="B42" s="74" t="s">
        <v>656</v>
      </c>
      <c r="C42" s="53"/>
    </row>
    <row r="43" spans="1:3" ht="12.75">
      <c r="A43" s="49"/>
      <c r="B43" s="74" t="s">
        <v>808</v>
      </c>
      <c r="C43" s="53"/>
    </row>
    <row r="44" spans="1:3" ht="12.75">
      <c r="A44" s="50"/>
      <c r="B44" s="20" t="s">
        <v>629</v>
      </c>
      <c r="C44" s="51">
        <f>C34+C35+C36+C37+C38+C39</f>
        <v>85275.34112973914</v>
      </c>
    </row>
    <row r="45" spans="1:3" ht="12.75">
      <c r="A45" s="49"/>
      <c r="B45" s="7" t="s">
        <v>966</v>
      </c>
      <c r="C45" s="45"/>
    </row>
    <row r="46" spans="1:3" ht="12.75">
      <c r="A46" s="84">
        <v>1</v>
      </c>
      <c r="B46" s="9" t="s">
        <v>631</v>
      </c>
      <c r="C46" s="48">
        <f>C16*2%</f>
        <v>7060.9536</v>
      </c>
    </row>
    <row r="47" spans="1:3" ht="12.75">
      <c r="A47" s="84">
        <v>2</v>
      </c>
      <c r="B47" s="9" t="s">
        <v>391</v>
      </c>
      <c r="C47" s="48">
        <f>C48</f>
        <v>20759.203584</v>
      </c>
    </row>
    <row r="48" spans="1:4" ht="12.75">
      <c r="A48" s="49"/>
      <c r="B48" s="5" t="s">
        <v>334</v>
      </c>
      <c r="C48" s="41">
        <f>(C16-C46)*6%</f>
        <v>20759.203584</v>
      </c>
      <c r="D48" s="19"/>
    </row>
    <row r="49" spans="1:3" ht="13.5" thickBot="1">
      <c r="A49" s="54"/>
      <c r="B49" s="55" t="s">
        <v>967</v>
      </c>
      <c r="C49" s="56">
        <f>C46+C47</f>
        <v>27820.157184</v>
      </c>
    </row>
    <row r="50" spans="1:3" ht="12.75">
      <c r="A50" s="23"/>
      <c r="B50" s="4" t="s">
        <v>288</v>
      </c>
      <c r="C50" s="11">
        <f>C32+C44+C49</f>
        <v>263516.42831373913</v>
      </c>
    </row>
    <row r="51" spans="1:3" ht="12.75">
      <c r="A51" s="23"/>
      <c r="B51" s="77"/>
      <c r="C51" s="1"/>
    </row>
    <row r="52" spans="1:3" ht="15">
      <c r="A52" s="23"/>
      <c r="B52" s="14" t="s">
        <v>975</v>
      </c>
      <c r="C52" s="11">
        <v>141722.57</v>
      </c>
    </row>
    <row r="53" spans="1:3" ht="15">
      <c r="A53" s="23"/>
      <c r="B53" s="14" t="s">
        <v>94</v>
      </c>
      <c r="C53" s="11">
        <f>C16+C52-C50</f>
        <v>231253.82168626087</v>
      </c>
    </row>
    <row r="54" ht="12.75">
      <c r="B54" s="1" t="s">
        <v>85</v>
      </c>
    </row>
    <row r="55" ht="17.25" customHeight="1">
      <c r="B55" s="1" t="s">
        <v>1197</v>
      </c>
    </row>
    <row r="56" spans="1:4" ht="12.75">
      <c r="A56" s="2"/>
      <c r="B56" s="2"/>
      <c r="C56" s="2" t="s">
        <v>790</v>
      </c>
      <c r="D56" s="2"/>
    </row>
    <row r="57" spans="1:4" ht="12.75">
      <c r="A57" s="2"/>
      <c r="B57" s="2"/>
      <c r="C57" s="2" t="s">
        <v>399</v>
      </c>
      <c r="D57" s="2"/>
    </row>
    <row r="58" spans="1:5" ht="13.5" thickBot="1">
      <c r="A58" s="37"/>
      <c r="B58" s="37" t="s">
        <v>969</v>
      </c>
      <c r="C58" s="32" t="s">
        <v>886</v>
      </c>
      <c r="D58" s="211">
        <f>C8</f>
        <v>1727.8</v>
      </c>
      <c r="E58" t="s">
        <v>116</v>
      </c>
    </row>
    <row r="59" spans="1:5" ht="12.75">
      <c r="A59" s="60" t="s">
        <v>218</v>
      </c>
      <c r="B59" s="39" t="s">
        <v>286</v>
      </c>
      <c r="C59" s="47">
        <v>49778.74</v>
      </c>
      <c r="D59" s="15"/>
      <c r="E59" s="21"/>
    </row>
    <row r="60" spans="1:5" ht="12.75">
      <c r="A60" s="61"/>
      <c r="B60" s="6" t="s">
        <v>118</v>
      </c>
      <c r="C60" s="41"/>
      <c r="D60" s="15"/>
      <c r="E60" s="21"/>
    </row>
    <row r="61" spans="1:5" ht="13.5" thickBot="1">
      <c r="A61" s="62" t="s">
        <v>166</v>
      </c>
      <c r="B61" s="6" t="s">
        <v>380</v>
      </c>
      <c r="C61" s="41">
        <v>0</v>
      </c>
      <c r="D61" s="15"/>
      <c r="E61" s="15"/>
    </row>
    <row r="62" spans="1:5" ht="12.75">
      <c r="A62" s="60" t="s">
        <v>328</v>
      </c>
      <c r="B62" s="39" t="s">
        <v>343</v>
      </c>
      <c r="C62" s="47">
        <v>6136.35</v>
      </c>
      <c r="D62" s="15"/>
      <c r="E62" s="12"/>
    </row>
    <row r="63" spans="1:5" ht="12.75">
      <c r="A63" s="61"/>
      <c r="B63" s="6" t="s">
        <v>118</v>
      </c>
      <c r="C63" s="41"/>
      <c r="D63" s="15"/>
      <c r="E63" s="12"/>
    </row>
    <row r="64" spans="1:5" ht="12.75">
      <c r="A64" s="62" t="s">
        <v>166</v>
      </c>
      <c r="B64" s="6" t="s">
        <v>380</v>
      </c>
      <c r="C64" s="41">
        <v>0</v>
      </c>
      <c r="D64" s="15"/>
      <c r="E64" s="12"/>
    </row>
    <row r="65" spans="1:5" ht="13.5" thickBot="1">
      <c r="A65" s="63" t="s">
        <v>166</v>
      </c>
      <c r="B65" s="42" t="s">
        <v>818</v>
      </c>
      <c r="C65" s="46">
        <v>98.92</v>
      </c>
      <c r="D65" s="15"/>
      <c r="E65" s="15"/>
    </row>
    <row r="66" spans="1:5" ht="12.75">
      <c r="A66" s="300" t="s">
        <v>787</v>
      </c>
      <c r="B66" s="97" t="s">
        <v>1050</v>
      </c>
      <c r="C66" s="82">
        <f>C67+C68+C70+C69+C71+C72+C74+C75+C76+C73</f>
        <v>85275.34112973916</v>
      </c>
      <c r="D66" s="15"/>
      <c r="E66" s="12"/>
    </row>
    <row r="67" spans="1:5" ht="13.5" thickBot="1">
      <c r="A67" s="40" t="s">
        <v>166</v>
      </c>
      <c r="B67" s="6" t="s">
        <v>227</v>
      </c>
      <c r="C67" s="41">
        <f>C34</f>
        <v>52957.151999999995</v>
      </c>
      <c r="D67" s="15"/>
      <c r="E67" s="12"/>
    </row>
    <row r="68" spans="1:5" ht="12.75">
      <c r="A68" s="40" t="s">
        <v>166</v>
      </c>
      <c r="B68" s="6" t="s">
        <v>370</v>
      </c>
      <c r="C68" s="317">
        <f>401410.25/185335.63*C8</f>
        <v>3742.1656588644073</v>
      </c>
      <c r="D68" s="375" t="s">
        <v>138</v>
      </c>
      <c r="E68" s="376"/>
    </row>
    <row r="69" spans="1:5" ht="12.75">
      <c r="A69" s="73" t="s">
        <v>166</v>
      </c>
      <c r="B69" s="74" t="s">
        <v>397</v>
      </c>
      <c r="C69" s="317">
        <f>435991.01/185335.63*C8</f>
        <v>4064.546396599509</v>
      </c>
      <c r="D69" s="377" t="s">
        <v>139</v>
      </c>
      <c r="E69" s="378"/>
    </row>
    <row r="70" spans="1:5" ht="12.75">
      <c r="A70" s="71" t="s">
        <v>166</v>
      </c>
      <c r="B70" s="72" t="s">
        <v>416</v>
      </c>
      <c r="C70" s="317">
        <f>1082167/226605.83*C8</f>
        <v>8251.191695288686</v>
      </c>
      <c r="D70" s="379" t="s">
        <v>140</v>
      </c>
      <c r="E70" s="380"/>
    </row>
    <row r="71" spans="1:5" ht="25.5">
      <c r="A71" s="73" t="s">
        <v>166</v>
      </c>
      <c r="B71" s="72" t="s">
        <v>231</v>
      </c>
      <c r="C71" s="318">
        <f>845684.35/242356.05*D58</f>
        <v>6029.03628743743</v>
      </c>
      <c r="D71" s="381" t="s">
        <v>141</v>
      </c>
      <c r="E71" s="382"/>
    </row>
    <row r="72" spans="1:5" ht="12.75">
      <c r="A72" s="73" t="s">
        <v>166</v>
      </c>
      <c r="B72" s="74" t="s">
        <v>808</v>
      </c>
      <c r="C72" s="318">
        <f>642562.44/242356.05*D58</f>
        <v>4580.943549096463</v>
      </c>
      <c r="D72" s="371" t="s">
        <v>142</v>
      </c>
      <c r="E72" s="372"/>
    </row>
    <row r="73" spans="1:5" ht="12.75">
      <c r="A73" s="73" t="s">
        <v>166</v>
      </c>
      <c r="B73" s="74" t="s">
        <v>826</v>
      </c>
      <c r="C73" s="318">
        <f>51615/196822.43*D58</f>
        <v>453.1007822634849</v>
      </c>
      <c r="D73" s="371" t="s">
        <v>143</v>
      </c>
      <c r="E73" s="372"/>
    </row>
    <row r="74" spans="1:5" ht="12.75">
      <c r="A74" s="73" t="s">
        <v>166</v>
      </c>
      <c r="B74" s="74" t="s">
        <v>655</v>
      </c>
      <c r="C74" s="318">
        <f>129011.28/196822.43*D58</f>
        <v>1132.5217841482802</v>
      </c>
      <c r="D74" s="371" t="s">
        <v>144</v>
      </c>
      <c r="E74" s="372"/>
    </row>
    <row r="75" spans="1:5" ht="12.75">
      <c r="A75" s="73" t="s">
        <v>166</v>
      </c>
      <c r="B75" s="74" t="s">
        <v>656</v>
      </c>
      <c r="C75" s="318">
        <f>164128/196822.43*D58</f>
        <v>1440.7928933709434</v>
      </c>
      <c r="D75" s="373" t="s">
        <v>145</v>
      </c>
      <c r="E75" s="374"/>
    </row>
    <row r="76" spans="1:5" ht="13.5" thickBot="1">
      <c r="A76" s="75" t="s">
        <v>166</v>
      </c>
      <c r="B76" s="76" t="s">
        <v>809</v>
      </c>
      <c r="C76" s="319">
        <f>298900.58/196822.43*D58</f>
        <v>2623.890082669948</v>
      </c>
      <c r="D76" s="369" t="s">
        <v>146</v>
      </c>
      <c r="E76" s="370"/>
    </row>
    <row r="77" ht="13.5" thickBot="1"/>
    <row r="78" spans="2:5" ht="26.25" thickBot="1">
      <c r="B78" s="143"/>
      <c r="C78" s="205" t="s">
        <v>104</v>
      </c>
      <c r="D78" s="236" t="s">
        <v>306</v>
      </c>
      <c r="E78" s="130" t="s">
        <v>305</v>
      </c>
    </row>
    <row r="79" spans="2:5" ht="13.5" thickBot="1">
      <c r="B79" s="363" t="s">
        <v>361</v>
      </c>
      <c r="C79" s="364"/>
      <c r="D79" s="364"/>
      <c r="E79" s="365"/>
    </row>
    <row r="80" spans="2:5" ht="12.75">
      <c r="B80" s="140" t="s">
        <v>285</v>
      </c>
      <c r="C80" s="234">
        <v>97282.89</v>
      </c>
      <c r="D80" s="218">
        <v>109612.8</v>
      </c>
      <c r="E80" s="44">
        <f>D80-C80</f>
        <v>12329.910000000003</v>
      </c>
    </row>
    <row r="81" spans="2:5" ht="13.5" thickBot="1">
      <c r="B81" s="115" t="s">
        <v>637</v>
      </c>
      <c r="C81" s="10">
        <v>58590.98</v>
      </c>
      <c r="D81" s="99">
        <v>66016.8</v>
      </c>
      <c r="E81" s="45">
        <f>D81-C81</f>
        <v>7425.82</v>
      </c>
    </row>
    <row r="82" spans="2:5" ht="13.5" thickBot="1">
      <c r="B82" s="120"/>
      <c r="C82" s="257">
        <f>SUM(C80:C81)</f>
        <v>155873.87</v>
      </c>
      <c r="D82" s="257">
        <f>SUM(D80:D81)</f>
        <v>175629.6</v>
      </c>
      <c r="E82" s="210">
        <f>SUM(E80:E81)</f>
        <v>19755.730000000003</v>
      </c>
    </row>
    <row r="83" spans="2:5" ht="13.5" thickBot="1">
      <c r="B83" s="363" t="s">
        <v>224</v>
      </c>
      <c r="C83" s="364"/>
      <c r="D83" s="364"/>
      <c r="E83" s="365"/>
    </row>
    <row r="84" spans="2:5" ht="12.75">
      <c r="B84" s="140" t="s">
        <v>285</v>
      </c>
      <c r="C84" s="234">
        <v>137960.32</v>
      </c>
      <c r="D84" s="218">
        <v>136957.6</v>
      </c>
      <c r="E84" s="44">
        <f>D84-C84</f>
        <v>-1002.7200000000012</v>
      </c>
    </row>
    <row r="85" spans="2:5" ht="13.5" thickBot="1">
      <c r="B85" s="157" t="s">
        <v>637</v>
      </c>
      <c r="C85" s="225">
        <v>74172.47</v>
      </c>
      <c r="D85" s="235">
        <v>74289.3</v>
      </c>
      <c r="E85" s="46">
        <f>D85-C85</f>
        <v>116.83000000000175</v>
      </c>
    </row>
    <row r="86" spans="2:5" ht="13.5" thickBot="1">
      <c r="B86" s="124"/>
      <c r="C86" s="252">
        <f>SUM(C84:C85)</f>
        <v>212132.79</v>
      </c>
      <c r="D86" s="252">
        <f>SUM(D84:D85)</f>
        <v>211246.90000000002</v>
      </c>
      <c r="E86" s="119">
        <f>SUM(E84:E85)</f>
        <v>-885.8899999999994</v>
      </c>
    </row>
    <row r="87" spans="2:5" ht="13.5" thickBot="1">
      <c r="B87" s="363" t="s">
        <v>303</v>
      </c>
      <c r="C87" s="364"/>
      <c r="D87" s="364"/>
      <c r="E87" s="365"/>
    </row>
    <row r="88" spans="2:5" ht="12.75">
      <c r="B88" s="140" t="s">
        <v>285</v>
      </c>
      <c r="C88" s="234">
        <v>179145.02</v>
      </c>
      <c r="D88" s="218">
        <v>180382.32</v>
      </c>
      <c r="E88" s="44">
        <f>D88-C88</f>
        <v>1237.3000000000175</v>
      </c>
    </row>
    <row r="89" spans="2:5" ht="13.5" thickBot="1">
      <c r="B89" s="157" t="s">
        <v>637</v>
      </c>
      <c r="C89" s="225">
        <v>87681.33</v>
      </c>
      <c r="D89" s="235">
        <v>87703.13</v>
      </c>
      <c r="E89" s="46">
        <f>D89-C89</f>
        <v>21.80000000000291</v>
      </c>
    </row>
    <row r="90" spans="2:5" ht="13.5" thickBot="1">
      <c r="B90" s="187"/>
      <c r="C90" s="254">
        <f>SUM(C88:C89)</f>
        <v>266826.35</v>
      </c>
      <c r="D90" s="255">
        <f>SUM(D88:D89)</f>
        <v>268085.45</v>
      </c>
      <c r="E90" s="256">
        <f>SUM(E88:E89)</f>
        <v>1259.1000000000204</v>
      </c>
    </row>
    <row r="91" spans="2:5" ht="13.5" thickBot="1">
      <c r="B91" s="418" t="s">
        <v>409</v>
      </c>
      <c r="C91" s="419"/>
      <c r="D91" s="419"/>
      <c r="E91" s="420"/>
    </row>
    <row r="92" spans="2:5" ht="12.75">
      <c r="B92" s="140" t="s">
        <v>285</v>
      </c>
      <c r="C92" s="234">
        <v>166581.1</v>
      </c>
      <c r="D92" s="218">
        <v>180382.32</v>
      </c>
      <c r="E92" s="253">
        <f>D92-C92</f>
        <v>13801.220000000001</v>
      </c>
    </row>
    <row r="93" spans="2:5" ht="13.5" thickBot="1">
      <c r="B93" s="116" t="s">
        <v>637</v>
      </c>
      <c r="C93" s="67">
        <v>80992.93</v>
      </c>
      <c r="D93" s="101">
        <v>87703.13</v>
      </c>
      <c r="E93" s="204">
        <f>D93-C93</f>
        <v>6710.200000000012</v>
      </c>
    </row>
    <row r="94" spans="2:5" ht="13.5" thickBot="1">
      <c r="B94" s="338"/>
      <c r="C94" s="210">
        <f>SUM(C91:C93)</f>
        <v>247574.03</v>
      </c>
      <c r="D94" s="210">
        <f>SUM(D91:D93)</f>
        <v>268085.45</v>
      </c>
      <c r="E94" s="210">
        <f>SUM(E91:E93)</f>
        <v>20511.420000000013</v>
      </c>
    </row>
    <row r="95" spans="2:5" ht="13.5" thickBot="1">
      <c r="B95" s="363" t="s">
        <v>976</v>
      </c>
      <c r="C95" s="364"/>
      <c r="D95" s="364"/>
      <c r="E95" s="365"/>
    </row>
    <row r="96" spans="2:5" ht="12.75">
      <c r="B96" s="140" t="s">
        <v>285</v>
      </c>
      <c r="C96" s="141">
        <v>202115.48</v>
      </c>
      <c r="D96" s="155">
        <v>203811.36</v>
      </c>
      <c r="E96" s="253">
        <f>D96-C96</f>
        <v>1695.8799999999756</v>
      </c>
    </row>
    <row r="97" spans="2:5" ht="12.75">
      <c r="B97" s="115" t="s">
        <v>637</v>
      </c>
      <c r="C97" s="5">
        <v>98750.77</v>
      </c>
      <c r="D97" s="33">
        <v>99106.56</v>
      </c>
      <c r="E97" s="53">
        <f>D97-C97</f>
        <v>355.7899999999936</v>
      </c>
    </row>
    <row r="98" spans="2:5" ht="12.75">
      <c r="B98" s="278" t="s">
        <v>792</v>
      </c>
      <c r="C98" s="122">
        <v>600</v>
      </c>
      <c r="D98" s="122">
        <v>800</v>
      </c>
      <c r="E98" s="81">
        <f>D98-C98</f>
        <v>200</v>
      </c>
    </row>
    <row r="99" spans="2:5" ht="13.5" thickBot="1">
      <c r="B99" s="157" t="s">
        <v>1200</v>
      </c>
      <c r="C99" s="229">
        <v>4875.68</v>
      </c>
      <c r="D99" s="229">
        <v>4875.68</v>
      </c>
      <c r="E99" s="262">
        <f>D99-C99</f>
        <v>0</v>
      </c>
    </row>
    <row r="100" spans="2:5" ht="13.5" thickBot="1">
      <c r="B100" s="324"/>
      <c r="C100" s="119">
        <f>SUM(C96:C99)</f>
        <v>306341.93</v>
      </c>
      <c r="D100" s="119">
        <f>SUM(D96:D99)</f>
        <v>308593.6</v>
      </c>
      <c r="E100" s="119">
        <f>SUM(E96:E99)</f>
        <v>2251.669999999969</v>
      </c>
    </row>
    <row r="101" spans="2:5" ht="13.5" thickBot="1">
      <c r="B101" s="418" t="s">
        <v>77</v>
      </c>
      <c r="C101" s="419"/>
      <c r="D101" s="419"/>
      <c r="E101" s="420"/>
    </row>
    <row r="102" spans="2:5" ht="12.75">
      <c r="B102" s="140" t="s">
        <v>285</v>
      </c>
      <c r="C102" s="141">
        <v>208708.22</v>
      </c>
      <c r="D102" s="155">
        <v>215770.78</v>
      </c>
      <c r="E102" s="253">
        <f>D102-C102</f>
        <v>7062.559999999998</v>
      </c>
    </row>
    <row r="103" spans="2:5" ht="12.75">
      <c r="B103" s="115" t="s">
        <v>637</v>
      </c>
      <c r="C103" s="5">
        <v>100989.66</v>
      </c>
      <c r="D103" s="34">
        <v>105015.96</v>
      </c>
      <c r="E103" s="53">
        <f>D103-C103</f>
        <v>4026.300000000003</v>
      </c>
    </row>
    <row r="104" spans="2:5" ht="12.75">
      <c r="B104" s="116" t="s">
        <v>364</v>
      </c>
      <c r="C104" s="65">
        <v>3036.44</v>
      </c>
      <c r="D104" s="70">
        <v>5649.93</v>
      </c>
      <c r="E104" s="53">
        <f>D104-C104</f>
        <v>2613.4900000000002</v>
      </c>
    </row>
    <row r="105" spans="2:5" ht="12.75">
      <c r="B105" s="116" t="s">
        <v>29</v>
      </c>
      <c r="C105" s="94">
        <f>2400</f>
        <v>2400</v>
      </c>
      <c r="D105" s="83">
        <f>2400</f>
        <v>2400</v>
      </c>
      <c r="E105" s="81">
        <f>D105-C105</f>
        <v>0</v>
      </c>
    </row>
    <row r="106" spans="2:5" ht="13.5" thickBot="1">
      <c r="B106" s="157" t="s">
        <v>148</v>
      </c>
      <c r="C106" s="229">
        <v>37913.36</v>
      </c>
      <c r="D106" s="229">
        <v>70819.55</v>
      </c>
      <c r="E106" s="262">
        <f>D106-C106</f>
        <v>32906.19</v>
      </c>
    </row>
    <row r="107" spans="2:5" ht="13.5" thickBot="1">
      <c r="B107" s="324"/>
      <c r="C107" s="119">
        <f>SUM(C102:C106)</f>
        <v>353047.68</v>
      </c>
      <c r="D107" s="119">
        <f>SUM(D102:D106)</f>
        <v>399656.22</v>
      </c>
      <c r="E107" s="119">
        <f>SUM(E102:E106)</f>
        <v>46608.54</v>
      </c>
    </row>
    <row r="108" spans="2:5" ht="13.5" thickBot="1">
      <c r="B108" s="366" t="s">
        <v>379</v>
      </c>
      <c r="C108" s="367"/>
      <c r="D108" s="367"/>
      <c r="E108" s="368"/>
    </row>
    <row r="109" spans="2:5" ht="13.5" thickBot="1">
      <c r="B109" s="153"/>
      <c r="C109" s="117">
        <f>C82+C86+C90+C94+C100+C107</f>
        <v>1541796.65</v>
      </c>
      <c r="D109" s="117">
        <f>D82+D86+D90+D94+D100+D107</f>
        <v>1631297.22</v>
      </c>
      <c r="E109" s="117">
        <f>E82+E86+E90+E94+E100+E107</f>
        <v>89500.57</v>
      </c>
    </row>
  </sheetData>
  <sheetProtection/>
  <mergeCells count="24">
    <mergeCell ref="B83:E83"/>
    <mergeCell ref="B87:E87"/>
    <mergeCell ref="B91:E91"/>
    <mergeCell ref="B95:E95"/>
    <mergeCell ref="B108:E108"/>
    <mergeCell ref="B101:E101"/>
    <mergeCell ref="D72:E72"/>
    <mergeCell ref="D73:E73"/>
    <mergeCell ref="D74:E74"/>
    <mergeCell ref="D75:E75"/>
    <mergeCell ref="D76:E76"/>
    <mergeCell ref="B79:E79"/>
    <mergeCell ref="A18:D18"/>
    <mergeCell ref="D22:E22"/>
    <mergeCell ref="D68:E68"/>
    <mergeCell ref="D69:E69"/>
    <mergeCell ref="D70:E70"/>
    <mergeCell ref="D71:E71"/>
    <mergeCell ref="A2:B2"/>
    <mergeCell ref="C2:E2"/>
    <mergeCell ref="C3:E3"/>
    <mergeCell ref="B4:E4"/>
    <mergeCell ref="A6:E6"/>
    <mergeCell ref="A17:D17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6.875" style="0" customWidth="1"/>
    <col min="3" max="3" width="10.25390625" style="0" customWidth="1"/>
    <col min="4" max="4" width="12.1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1130</v>
      </c>
      <c r="C7" s="26"/>
      <c r="D7" s="24"/>
    </row>
    <row r="8" spans="1:4" ht="15">
      <c r="A8" s="26"/>
      <c r="B8" s="27" t="s">
        <v>115</v>
      </c>
      <c r="C8" s="38">
        <v>3466.7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407912.8</v>
      </c>
      <c r="D11" s="155">
        <v>426508.15</v>
      </c>
      <c r="E11" s="242">
        <f aca="true" t="shared" si="0" ref="E11:E17">D11-C11</f>
        <v>18595.350000000035</v>
      </c>
    </row>
    <row r="12" spans="1:5" ht="12.75">
      <c r="A12" s="84">
        <v>2</v>
      </c>
      <c r="B12" s="5" t="s">
        <v>637</v>
      </c>
      <c r="C12" s="10">
        <v>198800.89</v>
      </c>
      <c r="D12" s="34">
        <v>210713.92</v>
      </c>
      <c r="E12" s="57">
        <f t="shared" si="0"/>
        <v>11913.029999999999</v>
      </c>
    </row>
    <row r="13" spans="1:5" ht="12.75">
      <c r="A13" s="87">
        <v>3</v>
      </c>
      <c r="B13" s="5" t="s">
        <v>633</v>
      </c>
      <c r="C13" s="67">
        <v>52573.07</v>
      </c>
      <c r="D13" s="83">
        <v>56068.34</v>
      </c>
      <c r="E13" s="57">
        <f t="shared" si="0"/>
        <v>3495.269999999997</v>
      </c>
    </row>
    <row r="14" spans="1:5" ht="12.75">
      <c r="A14" s="84">
        <v>4</v>
      </c>
      <c r="B14" s="65" t="s">
        <v>364</v>
      </c>
      <c r="C14" s="94">
        <v>105110.38</v>
      </c>
      <c r="D14" s="83">
        <v>105744.37</v>
      </c>
      <c r="E14" s="57">
        <f t="shared" si="0"/>
        <v>633.9899999999907</v>
      </c>
    </row>
    <row r="15" spans="1:5" ht="12.75" customHeight="1">
      <c r="A15" s="87">
        <v>5</v>
      </c>
      <c r="B15" s="351" t="s">
        <v>1007</v>
      </c>
      <c r="C15" s="258">
        <v>8796.8</v>
      </c>
      <c r="D15" s="258">
        <v>8796.8</v>
      </c>
      <c r="E15" s="66">
        <f t="shared" si="0"/>
        <v>0</v>
      </c>
    </row>
    <row r="16" spans="1:5" ht="12.75">
      <c r="A16" s="84">
        <v>6</v>
      </c>
      <c r="B16" s="65" t="s">
        <v>29</v>
      </c>
      <c r="C16" s="94">
        <f>2400+3600</f>
        <v>6000</v>
      </c>
      <c r="D16" s="83">
        <f>2400+3300</f>
        <v>5700</v>
      </c>
      <c r="E16" s="57">
        <f t="shared" si="0"/>
        <v>-300</v>
      </c>
    </row>
    <row r="17" spans="1:5" ht="13.5" thickBot="1">
      <c r="A17" s="84">
        <v>7</v>
      </c>
      <c r="B17" s="105" t="s">
        <v>415</v>
      </c>
      <c r="C17" s="122">
        <f>8057.18+10889.5</f>
        <v>18946.68</v>
      </c>
      <c r="D17" s="122">
        <f>4573.56+10889.5</f>
        <v>15463.060000000001</v>
      </c>
      <c r="E17" s="66">
        <f t="shared" si="0"/>
        <v>-3483.619999999999</v>
      </c>
    </row>
    <row r="18" spans="1:5" ht="13.5" thickBot="1">
      <c r="A18" s="208"/>
      <c r="B18" s="209"/>
      <c r="C18" s="135">
        <f>SUM(C11:C17)</f>
        <v>798140.62</v>
      </c>
      <c r="D18" s="135">
        <f>SUM(D11:D17)</f>
        <v>828994.6400000001</v>
      </c>
      <c r="E18" s="136">
        <f>SUM(E11:E17)</f>
        <v>30854.020000000022</v>
      </c>
    </row>
    <row r="19" spans="1:5" ht="12.75">
      <c r="A19" s="385" t="s">
        <v>793</v>
      </c>
      <c r="B19" s="386"/>
      <c r="C19" s="386"/>
      <c r="D19" s="386"/>
      <c r="E19" s="108">
        <f>E125</f>
        <v>169344.1800000001</v>
      </c>
    </row>
    <row r="20" spans="1:5" ht="12.75">
      <c r="A20" s="387" t="s">
        <v>794</v>
      </c>
      <c r="B20" s="384"/>
      <c r="C20" s="384"/>
      <c r="D20" s="384"/>
      <c r="E20" s="22">
        <v>647655.62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25.5">
      <c r="A23" s="86">
        <v>1</v>
      </c>
      <c r="B23" s="64" t="s">
        <v>1147</v>
      </c>
      <c r="C23" s="80">
        <f>C64</f>
        <v>363781.55</v>
      </c>
      <c r="E23" s="29"/>
    </row>
    <row r="24" spans="1:5" ht="12.75">
      <c r="A24" s="91">
        <v>2</v>
      </c>
      <c r="B24" s="25" t="s">
        <v>344</v>
      </c>
      <c r="C24" s="102">
        <f>C73</f>
        <v>22160.86</v>
      </c>
      <c r="D24" s="388"/>
      <c r="E24" s="389"/>
    </row>
    <row r="25" spans="1:5" ht="12.75">
      <c r="A25" s="84">
        <v>3</v>
      </c>
      <c r="B25" s="9" t="s">
        <v>649</v>
      </c>
      <c r="C25" s="48">
        <v>5889.15</v>
      </c>
      <c r="E25" s="29"/>
    </row>
    <row r="26" spans="1:5" ht="12.75">
      <c r="A26" s="84">
        <v>4</v>
      </c>
      <c r="B26" s="9" t="s">
        <v>122</v>
      </c>
      <c r="C26" s="48">
        <f>(C8*0.55*12)</f>
        <v>22880.22</v>
      </c>
      <c r="E26" s="29"/>
    </row>
    <row r="27" spans="1:5" ht="12.75">
      <c r="A27" s="84">
        <v>5</v>
      </c>
      <c r="B27" s="9" t="s">
        <v>658</v>
      </c>
      <c r="C27" s="79">
        <v>63741.6</v>
      </c>
      <c r="E27" s="29"/>
    </row>
    <row r="28" spans="1:5" ht="12.75">
      <c r="A28" s="91">
        <v>6</v>
      </c>
      <c r="B28" s="25" t="s">
        <v>1145</v>
      </c>
      <c r="C28" s="96">
        <v>7193.7</v>
      </c>
      <c r="E28" s="29"/>
    </row>
    <row r="29" spans="1:5" ht="25.5">
      <c r="A29" s="91">
        <v>7</v>
      </c>
      <c r="B29" s="25" t="s">
        <v>1128</v>
      </c>
      <c r="C29" s="96">
        <v>2400</v>
      </c>
      <c r="E29" s="29"/>
    </row>
    <row r="30" spans="1:5" ht="25.5">
      <c r="A30" s="91">
        <v>8</v>
      </c>
      <c r="B30" s="346" t="s">
        <v>1141</v>
      </c>
      <c r="C30" s="96">
        <v>9100</v>
      </c>
      <c r="E30" s="29"/>
    </row>
    <row r="31" spans="1:5" ht="12.75">
      <c r="A31" s="91">
        <v>9</v>
      </c>
      <c r="B31" s="346" t="s">
        <v>26</v>
      </c>
      <c r="C31" s="96">
        <v>600</v>
      </c>
      <c r="E31" s="29"/>
    </row>
    <row r="32" spans="1:5" ht="25.5">
      <c r="A32" s="91">
        <v>10</v>
      </c>
      <c r="B32" s="25" t="s">
        <v>335</v>
      </c>
      <c r="C32" s="96">
        <v>4200</v>
      </c>
      <c r="E32" s="29"/>
    </row>
    <row r="33" spans="1:5" ht="12.75">
      <c r="A33" s="84">
        <v>11</v>
      </c>
      <c r="B33" s="25" t="s">
        <v>1129</v>
      </c>
      <c r="C33" s="79">
        <v>6306.8</v>
      </c>
      <c r="E33" s="29"/>
    </row>
    <row r="34" spans="1:5" ht="12.75" customHeight="1">
      <c r="A34" s="84">
        <v>12</v>
      </c>
      <c r="B34" s="25" t="s">
        <v>1143</v>
      </c>
      <c r="C34" s="79">
        <v>8000</v>
      </c>
      <c r="E34" s="29"/>
    </row>
    <row r="35" spans="1:5" ht="12.75">
      <c r="A35" s="91">
        <v>13</v>
      </c>
      <c r="B35" s="25" t="s">
        <v>1142</v>
      </c>
      <c r="C35" s="349">
        <v>2600</v>
      </c>
      <c r="E35" s="29"/>
    </row>
    <row r="36" spans="1:3" ht="12.75">
      <c r="A36" s="50"/>
      <c r="B36" s="20" t="s">
        <v>629</v>
      </c>
      <c r="C36" s="51">
        <f>SUM(C23:C35)</f>
        <v>518853.88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(C18)*15%</f>
        <v>119721.093</v>
      </c>
    </row>
    <row r="39" spans="1:3" ht="12.75">
      <c r="A39" s="84">
        <v>2</v>
      </c>
      <c r="B39" s="9" t="s">
        <v>813</v>
      </c>
      <c r="C39" s="48">
        <f>C79</f>
        <v>7508.372317157797</v>
      </c>
    </row>
    <row r="40" spans="1:3" ht="12.75">
      <c r="A40" s="84">
        <v>3</v>
      </c>
      <c r="B40" s="9" t="s">
        <v>653</v>
      </c>
      <c r="C40" s="48">
        <f>C80</f>
        <v>8155.204880826206</v>
      </c>
    </row>
    <row r="41" spans="1:3" ht="12.75">
      <c r="A41" s="84">
        <v>4</v>
      </c>
      <c r="B41" s="9" t="s">
        <v>1114</v>
      </c>
      <c r="C41" s="52">
        <f>C81</f>
        <v>16555.391972483674</v>
      </c>
    </row>
    <row r="42" spans="1:3" ht="12.75">
      <c r="A42" s="84">
        <v>5</v>
      </c>
      <c r="B42" s="9" t="s">
        <v>162</v>
      </c>
      <c r="C42" s="52">
        <f>C82</f>
        <v>12096.805242307753</v>
      </c>
    </row>
    <row r="43" spans="1:3" ht="12.75">
      <c r="A43" s="84">
        <v>6</v>
      </c>
      <c r="B43" s="9" t="s">
        <v>1051</v>
      </c>
      <c r="C43" s="48">
        <f>C83+C85+C86+C87+C84</f>
        <v>20528.22735598642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184565.09476876186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C18*2%</f>
        <v>15962.8124</v>
      </c>
    </row>
    <row r="51" spans="1:3" ht="12.75">
      <c r="A51" s="84">
        <v>2</v>
      </c>
      <c r="B51" s="9" t="s">
        <v>391</v>
      </c>
      <c r="C51" s="48">
        <f>C52</f>
        <v>46930.66845599999</v>
      </c>
    </row>
    <row r="52" spans="1:4" ht="12.75">
      <c r="A52" s="49"/>
      <c r="B52" s="5" t="s">
        <v>334</v>
      </c>
      <c r="C52" s="41">
        <f>(C18-C50)*6%</f>
        <v>46930.66845599999</v>
      </c>
      <c r="D52" s="19"/>
    </row>
    <row r="53" spans="1:3" ht="13.5" thickBot="1">
      <c r="A53" s="54"/>
      <c r="B53" s="55" t="s">
        <v>967</v>
      </c>
      <c r="C53" s="56">
        <f>C50+C51</f>
        <v>62893.480855999995</v>
      </c>
    </row>
    <row r="54" spans="1:3" ht="12.75">
      <c r="A54" s="23"/>
      <c r="B54" s="4" t="s">
        <v>288</v>
      </c>
      <c r="C54" s="11">
        <f>C36+C48+C53</f>
        <v>766312.4556247619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">
        <v>314830.01</v>
      </c>
    </row>
    <row r="57" spans="1:3" ht="15">
      <c r="A57" s="23"/>
      <c r="B57" s="14" t="s">
        <v>12</v>
      </c>
      <c r="C57" s="11">
        <v>116114.3</v>
      </c>
    </row>
    <row r="58" spans="1:3" ht="15">
      <c r="A58" s="23"/>
      <c r="B58" s="14" t="s">
        <v>180</v>
      </c>
      <c r="C58" s="11">
        <f>C54+C56-C57-C18</f>
        <v>166887.54562476173</v>
      </c>
    </row>
    <row r="59" ht="12.75">
      <c r="B59" s="1" t="s">
        <v>85</v>
      </c>
    </row>
    <row r="60" ht="14.25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430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</f>
        <v>3466.7</v>
      </c>
      <c r="E63" t="s">
        <v>116</v>
      </c>
    </row>
    <row r="64" spans="1:5" ht="12.75">
      <c r="A64" s="60" t="s">
        <v>218</v>
      </c>
      <c r="B64" s="39" t="s">
        <v>165</v>
      </c>
      <c r="C64" s="47">
        <v>363781.55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20640.8</v>
      </c>
      <c r="D66" s="15"/>
      <c r="E66" s="15"/>
    </row>
    <row r="67" spans="1:5" ht="12.75">
      <c r="A67" s="62" t="s">
        <v>166</v>
      </c>
      <c r="B67" s="6" t="s">
        <v>1144</v>
      </c>
      <c r="C67" s="41">
        <v>14782.64</v>
      </c>
      <c r="D67" s="15"/>
      <c r="E67" s="15"/>
    </row>
    <row r="68" spans="1:5" ht="12.75">
      <c r="A68" s="62" t="s">
        <v>166</v>
      </c>
      <c r="B68" s="6" t="s">
        <v>210</v>
      </c>
      <c r="C68" s="41">
        <v>7983.87</v>
      </c>
      <c r="D68" s="15"/>
      <c r="E68" s="15"/>
    </row>
    <row r="69" spans="1:5" ht="12.75">
      <c r="A69" s="62" t="s">
        <v>166</v>
      </c>
      <c r="B69" s="6" t="s">
        <v>1146</v>
      </c>
      <c r="C69" s="41">
        <v>9196</v>
      </c>
      <c r="D69" s="15"/>
      <c r="E69" s="15"/>
    </row>
    <row r="70" spans="1:5" ht="12.75">
      <c r="A70" s="62" t="s">
        <v>166</v>
      </c>
      <c r="B70" s="6" t="s">
        <v>1222</v>
      </c>
      <c r="C70" s="41">
        <v>65216.73</v>
      </c>
      <c r="D70" s="15"/>
      <c r="E70" s="15"/>
    </row>
    <row r="71" spans="1:5" ht="12.75">
      <c r="A71" s="62" t="s">
        <v>166</v>
      </c>
      <c r="B71" s="6" t="s">
        <v>1148</v>
      </c>
      <c r="C71" s="41">
        <v>1733.33</v>
      </c>
      <c r="D71" s="15"/>
      <c r="E71" s="15"/>
    </row>
    <row r="72" spans="1:5" ht="13.5" thickBot="1">
      <c r="A72" s="63" t="s">
        <v>166</v>
      </c>
      <c r="B72" s="42" t="s">
        <v>818</v>
      </c>
      <c r="C72" s="46">
        <v>3659.18</v>
      </c>
      <c r="D72" s="15"/>
      <c r="E72" s="15"/>
    </row>
    <row r="73" spans="1:5" ht="12.75">
      <c r="A73" s="60" t="s">
        <v>328</v>
      </c>
      <c r="B73" s="39" t="s">
        <v>343</v>
      </c>
      <c r="C73" s="47">
        <v>22160.86</v>
      </c>
      <c r="D73" s="15"/>
      <c r="E73" s="12"/>
    </row>
    <row r="74" spans="1:5" ht="12.75">
      <c r="A74" s="61"/>
      <c r="B74" s="6" t="s">
        <v>118</v>
      </c>
      <c r="C74" s="41"/>
      <c r="D74" s="15"/>
      <c r="E74" s="12"/>
    </row>
    <row r="75" spans="1:5" ht="12.75">
      <c r="A75" s="62" t="s">
        <v>166</v>
      </c>
      <c r="B75" s="6" t="s">
        <v>380</v>
      </c>
      <c r="C75" s="41">
        <v>1834</v>
      </c>
      <c r="D75" s="15"/>
      <c r="E75" s="12"/>
    </row>
    <row r="76" spans="1:5" ht="13.5" thickBot="1">
      <c r="A76" s="63" t="s">
        <v>166</v>
      </c>
      <c r="B76" s="42" t="s">
        <v>818</v>
      </c>
      <c r="C76" s="46">
        <v>198.23</v>
      </c>
      <c r="D76" s="15"/>
      <c r="E76" s="15"/>
    </row>
    <row r="77" spans="1:5" ht="12.75">
      <c r="A77" s="300" t="s">
        <v>787</v>
      </c>
      <c r="B77" s="97" t="s">
        <v>1050</v>
      </c>
      <c r="C77" s="82">
        <f>C78+C79+C81+C80+C82+C83+C85+C86+C87+C84</f>
        <v>184565.09476876183</v>
      </c>
      <c r="D77" s="15"/>
      <c r="E77" s="12"/>
    </row>
    <row r="78" spans="1:5" ht="13.5" thickBot="1">
      <c r="A78" s="40" t="s">
        <v>166</v>
      </c>
      <c r="B78" s="6" t="s">
        <v>227</v>
      </c>
      <c r="C78" s="41">
        <f>C38</f>
        <v>119721.093</v>
      </c>
      <c r="D78" s="15"/>
      <c r="E78" s="12"/>
    </row>
    <row r="79" spans="1:5" ht="12.75">
      <c r="A79" s="40" t="s">
        <v>166</v>
      </c>
      <c r="B79" s="6" t="s">
        <v>370</v>
      </c>
      <c r="C79" s="317">
        <f>401410.25/185335.63*C8</f>
        <v>7508.372317157797</v>
      </c>
      <c r="D79" s="375" t="s">
        <v>1131</v>
      </c>
      <c r="E79" s="376"/>
    </row>
    <row r="80" spans="1:5" ht="12.75">
      <c r="A80" s="73" t="s">
        <v>166</v>
      </c>
      <c r="B80" s="74" t="s">
        <v>397</v>
      </c>
      <c r="C80" s="317">
        <f>435991.01/185335.63*C8</f>
        <v>8155.204880826206</v>
      </c>
      <c r="D80" s="377" t="s">
        <v>1132</v>
      </c>
      <c r="E80" s="378"/>
    </row>
    <row r="81" spans="1:5" ht="12.75">
      <c r="A81" s="71" t="s">
        <v>166</v>
      </c>
      <c r="B81" s="72" t="s">
        <v>416</v>
      </c>
      <c r="C81" s="317">
        <f>1082167/226605.83*C8</f>
        <v>16555.391972483674</v>
      </c>
      <c r="D81" s="379" t="s">
        <v>1133</v>
      </c>
      <c r="E81" s="380"/>
    </row>
    <row r="82" spans="1:5" ht="25.5">
      <c r="A82" s="73" t="s">
        <v>166</v>
      </c>
      <c r="B82" s="72" t="s">
        <v>231</v>
      </c>
      <c r="C82" s="318">
        <f>845684.35/242356.05*D63</f>
        <v>12096.805242307753</v>
      </c>
      <c r="D82" s="381" t="s">
        <v>1134</v>
      </c>
      <c r="E82" s="382"/>
    </row>
    <row r="83" spans="1:5" ht="12.75">
      <c r="A83" s="73" t="s">
        <v>166</v>
      </c>
      <c r="B83" s="74" t="s">
        <v>808</v>
      </c>
      <c r="C83" s="318">
        <f>642562.44/242356.05*D63</f>
        <v>9191.316704278683</v>
      </c>
      <c r="D83" s="371" t="s">
        <v>1135</v>
      </c>
      <c r="E83" s="372"/>
    </row>
    <row r="84" spans="1:5" ht="12.75">
      <c r="A84" s="73" t="s">
        <v>166</v>
      </c>
      <c r="B84" s="74" t="s">
        <v>826</v>
      </c>
      <c r="C84" s="318">
        <f>51615/196822.43*D63</f>
        <v>909.1124446537927</v>
      </c>
      <c r="D84" s="371" t="s">
        <v>1136</v>
      </c>
      <c r="E84" s="372"/>
    </row>
    <row r="85" spans="1:5" ht="12.75">
      <c r="A85" s="73" t="s">
        <v>166</v>
      </c>
      <c r="B85" s="74" t="s">
        <v>655</v>
      </c>
      <c r="C85" s="318">
        <f>129011.28/196822.43*D63</f>
        <v>2272.3192899101996</v>
      </c>
      <c r="D85" s="371" t="s">
        <v>1137</v>
      </c>
      <c r="E85" s="372"/>
    </row>
    <row r="86" spans="1:5" ht="12.75">
      <c r="A86" s="73" t="s">
        <v>166</v>
      </c>
      <c r="B86" s="74" t="s">
        <v>656</v>
      </c>
      <c r="C86" s="318">
        <f>164128/196822.43*D63</f>
        <v>2890.8419512958963</v>
      </c>
      <c r="D86" s="373" t="s">
        <v>1138</v>
      </c>
      <c r="E86" s="374"/>
    </row>
    <row r="87" spans="1:5" ht="13.5" thickBot="1">
      <c r="A87" s="75" t="s">
        <v>166</v>
      </c>
      <c r="B87" s="76" t="s">
        <v>809</v>
      </c>
      <c r="C87" s="319">
        <f>298900.58/196822.43*D63</f>
        <v>5264.636965847845</v>
      </c>
      <c r="D87" s="369" t="s">
        <v>1139</v>
      </c>
      <c r="E87" s="370"/>
    </row>
    <row r="88" ht="13.5" thickBot="1"/>
    <row r="89" spans="2:5" ht="26.25" thickBot="1">
      <c r="B89" s="143"/>
      <c r="C89" s="205" t="s">
        <v>104</v>
      </c>
      <c r="D89" s="236" t="s">
        <v>306</v>
      </c>
      <c r="E89" s="130" t="s">
        <v>305</v>
      </c>
    </row>
    <row r="90" spans="2:5" ht="13.5" thickBot="1">
      <c r="B90" s="363" t="s">
        <v>937</v>
      </c>
      <c r="C90" s="364"/>
      <c r="D90" s="364"/>
      <c r="E90" s="365"/>
    </row>
    <row r="91" spans="2:5" ht="12.75">
      <c r="B91" s="140" t="s">
        <v>285</v>
      </c>
      <c r="C91" s="234">
        <v>237414.35</v>
      </c>
      <c r="D91" s="218">
        <v>283366.19</v>
      </c>
      <c r="E91" s="44">
        <f>D91-C91</f>
        <v>45951.84</v>
      </c>
    </row>
    <row r="92" spans="2:5" ht="12.75">
      <c r="B92" s="115" t="s">
        <v>637</v>
      </c>
      <c r="C92" s="10">
        <v>127799.25</v>
      </c>
      <c r="D92" s="99">
        <v>151255.46</v>
      </c>
      <c r="E92" s="45">
        <f>D92-C92</f>
        <v>23456.209999999992</v>
      </c>
    </row>
    <row r="93" spans="2:5" ht="13.5" thickBot="1">
      <c r="B93" s="157" t="s">
        <v>402</v>
      </c>
      <c r="C93" s="225">
        <v>4826.74</v>
      </c>
      <c r="D93" s="235">
        <v>6364.05</v>
      </c>
      <c r="E93" s="46">
        <f>D93-C93</f>
        <v>1537.3100000000004</v>
      </c>
    </row>
    <row r="94" spans="2:5" ht="13.5" thickBot="1">
      <c r="B94" s="124"/>
      <c r="C94" s="252">
        <f>SUM(C91:C93)</f>
        <v>370040.33999999997</v>
      </c>
      <c r="D94" s="252">
        <f>SUM(D91:D93)</f>
        <v>440985.7</v>
      </c>
      <c r="E94" s="119">
        <f>SUM(E91:E93)</f>
        <v>70945.35999999999</v>
      </c>
    </row>
    <row r="95" spans="2:5" ht="13.5" thickBot="1">
      <c r="B95" s="363" t="s">
        <v>938</v>
      </c>
      <c r="C95" s="364"/>
      <c r="D95" s="364"/>
      <c r="E95" s="365"/>
    </row>
    <row r="96" spans="2:5" ht="12.75">
      <c r="B96" s="140" t="s">
        <v>285</v>
      </c>
      <c r="C96" s="234">
        <v>343408.1</v>
      </c>
      <c r="D96" s="218">
        <v>362097.48</v>
      </c>
      <c r="E96" s="44">
        <f>D96-C96</f>
        <v>18689.380000000005</v>
      </c>
    </row>
    <row r="97" spans="2:5" ht="12.75">
      <c r="B97" s="115" t="s">
        <v>637</v>
      </c>
      <c r="C97" s="10">
        <v>167763.97</v>
      </c>
      <c r="D97" s="99">
        <v>176054.29</v>
      </c>
      <c r="E97" s="45">
        <f>D97-C97</f>
        <v>8290.320000000007</v>
      </c>
    </row>
    <row r="98" spans="2:5" ht="13.5" thickBot="1">
      <c r="B98" s="157" t="s">
        <v>408</v>
      </c>
      <c r="C98" s="225">
        <v>26371.11</v>
      </c>
      <c r="D98" s="235">
        <v>33108.72</v>
      </c>
      <c r="E98" s="46">
        <f>D98-C98</f>
        <v>6737.610000000001</v>
      </c>
    </row>
    <row r="99" spans="2:5" ht="13.5" thickBot="1">
      <c r="B99" s="187"/>
      <c r="C99" s="254">
        <f>SUM(C96:C98)</f>
        <v>537543.1799999999</v>
      </c>
      <c r="D99" s="255">
        <f>SUM(D96:D98)</f>
        <v>571260.49</v>
      </c>
      <c r="E99" s="256">
        <f>SUM(E96:E98)</f>
        <v>33717.31000000001</v>
      </c>
    </row>
    <row r="100" spans="2:5" ht="13.5" thickBot="1">
      <c r="B100" s="418" t="s">
        <v>639</v>
      </c>
      <c r="C100" s="419"/>
      <c r="D100" s="419"/>
      <c r="E100" s="420"/>
    </row>
    <row r="101" spans="2:5" ht="12.75">
      <c r="B101" s="140" t="s">
        <v>285</v>
      </c>
      <c r="C101" s="234">
        <v>356690.35</v>
      </c>
      <c r="D101" s="218">
        <v>365988.59</v>
      </c>
      <c r="E101" s="253">
        <f>D101-C101</f>
        <v>9298.240000000049</v>
      </c>
    </row>
    <row r="102" spans="2:5" ht="12.75">
      <c r="B102" s="115" t="s">
        <v>637</v>
      </c>
      <c r="C102" s="10">
        <v>173846.65</v>
      </c>
      <c r="D102" s="99">
        <v>177948.21</v>
      </c>
      <c r="E102" s="53">
        <f>D102-C102</f>
        <v>4101.559999999998</v>
      </c>
    </row>
    <row r="103" spans="2:5" ht="12.75">
      <c r="B103" s="115" t="s">
        <v>113</v>
      </c>
      <c r="C103" s="10">
        <v>12276.64</v>
      </c>
      <c r="D103" s="99">
        <v>12742.78</v>
      </c>
      <c r="E103" s="53">
        <f>D103-C103</f>
        <v>466.14000000000124</v>
      </c>
    </row>
    <row r="104" spans="2:5" ht="12.75">
      <c r="B104" s="115" t="s">
        <v>408</v>
      </c>
      <c r="C104" s="10">
        <v>41631.28</v>
      </c>
      <c r="D104" s="99">
        <v>43211.16</v>
      </c>
      <c r="E104" s="53">
        <f>D104-C104</f>
        <v>1579.8800000000047</v>
      </c>
    </row>
    <row r="105" spans="2:5" ht="13.5" thickBot="1">
      <c r="B105" s="157" t="s">
        <v>1200</v>
      </c>
      <c r="C105" s="142">
        <v>25276.06</v>
      </c>
      <c r="D105" s="142">
        <v>25276.06</v>
      </c>
      <c r="E105" s="85">
        <v>0</v>
      </c>
    </row>
    <row r="106" spans="2:5" ht="13.5" thickBot="1">
      <c r="B106" s="187"/>
      <c r="C106" s="254">
        <f>SUM(C101:C105)</f>
        <v>609720.9800000001</v>
      </c>
      <c r="D106" s="255">
        <f>SUM(D101:D105)</f>
        <v>625166.8000000002</v>
      </c>
      <c r="E106" s="256">
        <f>SUM(E101:E105)</f>
        <v>15445.820000000052</v>
      </c>
    </row>
    <row r="107" spans="2:5" ht="13.5" thickBot="1">
      <c r="B107" s="363" t="s">
        <v>1113</v>
      </c>
      <c r="C107" s="364"/>
      <c r="D107" s="364"/>
      <c r="E107" s="365"/>
    </row>
    <row r="108" spans="2:5" ht="12.75">
      <c r="B108" s="140" t="s">
        <v>285</v>
      </c>
      <c r="C108" s="141">
        <v>370824.35</v>
      </c>
      <c r="D108" s="155">
        <v>375005.95</v>
      </c>
      <c r="E108" s="253">
        <f aca="true" t="shared" si="1" ref="E108:E113">D108-C108</f>
        <v>4181.600000000035</v>
      </c>
    </row>
    <row r="109" spans="2:5" ht="12.75">
      <c r="B109" s="115" t="s">
        <v>637</v>
      </c>
      <c r="C109" s="5">
        <v>180879.8</v>
      </c>
      <c r="D109" s="33">
        <v>182352.5</v>
      </c>
      <c r="E109" s="53">
        <f t="shared" si="1"/>
        <v>1472.7000000000116</v>
      </c>
    </row>
    <row r="110" spans="2:5" ht="12.75">
      <c r="B110" s="278" t="s">
        <v>792</v>
      </c>
      <c r="C110" s="122">
        <v>1500</v>
      </c>
      <c r="D110" s="122">
        <v>2000</v>
      </c>
      <c r="E110" s="81">
        <f t="shared" si="1"/>
        <v>500</v>
      </c>
    </row>
    <row r="111" spans="2:5" ht="12.75">
      <c r="B111" s="278" t="s">
        <v>364</v>
      </c>
      <c r="C111" s="122">
        <v>4995.89</v>
      </c>
      <c r="D111" s="122">
        <v>14960.53</v>
      </c>
      <c r="E111" s="81">
        <f t="shared" si="1"/>
        <v>9964.64</v>
      </c>
    </row>
    <row r="112" spans="2:5" ht="12.75">
      <c r="B112" s="278" t="s">
        <v>113</v>
      </c>
      <c r="C112" s="122">
        <v>19769.27</v>
      </c>
      <c r="D112" s="122">
        <v>21284.33</v>
      </c>
      <c r="E112" s="81">
        <f t="shared" si="1"/>
        <v>1515.0600000000013</v>
      </c>
    </row>
    <row r="113" spans="2:5" ht="13.5" thickBot="1">
      <c r="B113" s="157" t="s">
        <v>633</v>
      </c>
      <c r="C113" s="95">
        <v>43689.14</v>
      </c>
      <c r="D113" s="245">
        <v>44436.81</v>
      </c>
      <c r="E113" s="262">
        <f t="shared" si="1"/>
        <v>747.6699999999983</v>
      </c>
    </row>
    <row r="114" spans="2:5" ht="13.5" thickBot="1">
      <c r="B114" s="187"/>
      <c r="C114" s="254">
        <f>SUM(C108:C113)</f>
        <v>621658.45</v>
      </c>
      <c r="D114" s="255">
        <f>SUM(D108:D113)</f>
        <v>640040.1199999999</v>
      </c>
      <c r="E114" s="256">
        <f>SUM(E108:E113)</f>
        <v>18381.670000000046</v>
      </c>
    </row>
    <row r="115" spans="2:5" ht="13.5" thickBot="1">
      <c r="B115" s="363" t="s">
        <v>87</v>
      </c>
      <c r="C115" s="364"/>
      <c r="D115" s="364"/>
      <c r="E115" s="365"/>
    </row>
    <row r="116" spans="2:5" ht="12.75">
      <c r="B116" s="140" t="s">
        <v>285</v>
      </c>
      <c r="C116" s="234">
        <v>407912.8</v>
      </c>
      <c r="D116" s="155">
        <v>426508.15</v>
      </c>
      <c r="E116" s="253">
        <f aca="true" t="shared" si="2" ref="E116:E122">D116-C116</f>
        <v>18595.350000000035</v>
      </c>
    </row>
    <row r="117" spans="2:5" ht="12.75">
      <c r="B117" s="115" t="s">
        <v>637</v>
      </c>
      <c r="C117" s="10">
        <v>198800.89</v>
      </c>
      <c r="D117" s="34">
        <v>210713.92</v>
      </c>
      <c r="E117" s="53">
        <f t="shared" si="2"/>
        <v>11913.029999999999</v>
      </c>
    </row>
    <row r="118" spans="2:5" ht="12.75">
      <c r="B118" s="115" t="s">
        <v>633</v>
      </c>
      <c r="C118" s="67">
        <v>52573.07</v>
      </c>
      <c r="D118" s="83">
        <v>56068.34</v>
      </c>
      <c r="E118" s="81">
        <f t="shared" si="2"/>
        <v>3495.269999999997</v>
      </c>
    </row>
    <row r="119" spans="2:5" ht="12.75">
      <c r="B119" s="116" t="s">
        <v>364</v>
      </c>
      <c r="C119" s="94">
        <v>105110.38</v>
      </c>
      <c r="D119" s="83">
        <v>105744.37</v>
      </c>
      <c r="E119" s="81">
        <f t="shared" si="2"/>
        <v>633.9899999999907</v>
      </c>
    </row>
    <row r="120" spans="2:5" ht="12.75" customHeight="1">
      <c r="B120" s="352" t="s">
        <v>1007</v>
      </c>
      <c r="C120" s="258">
        <v>8796.8</v>
      </c>
      <c r="D120" s="258">
        <v>8796.8</v>
      </c>
      <c r="E120" s="81">
        <f t="shared" si="2"/>
        <v>0</v>
      </c>
    </row>
    <row r="121" spans="2:5" ht="12.75">
      <c r="B121" s="116" t="s">
        <v>29</v>
      </c>
      <c r="C121" s="94">
        <f>2400+3600</f>
        <v>6000</v>
      </c>
      <c r="D121" s="83">
        <f>2400+3300</f>
        <v>5700</v>
      </c>
      <c r="E121" s="81">
        <f t="shared" si="2"/>
        <v>-300</v>
      </c>
    </row>
    <row r="122" spans="2:5" ht="13.5" thickBot="1">
      <c r="B122" s="266" t="s">
        <v>415</v>
      </c>
      <c r="C122" s="229">
        <f>8057.18+10889.5</f>
        <v>18946.68</v>
      </c>
      <c r="D122" s="229">
        <f>4573.56+10889.5</f>
        <v>15463.060000000001</v>
      </c>
      <c r="E122" s="85">
        <f t="shared" si="2"/>
        <v>-3483.619999999999</v>
      </c>
    </row>
    <row r="123" spans="2:5" ht="13.5" thickBot="1">
      <c r="B123" s="324"/>
      <c r="C123" s="119">
        <f>SUM(C116:C122)</f>
        <v>798140.62</v>
      </c>
      <c r="D123" s="119">
        <f>SUM(D116:D122)</f>
        <v>828994.6400000001</v>
      </c>
      <c r="E123" s="119">
        <f>SUM(E116:E122)</f>
        <v>30854.020000000022</v>
      </c>
    </row>
    <row r="124" spans="2:5" ht="13.5" thickBot="1">
      <c r="B124" s="366" t="s">
        <v>379</v>
      </c>
      <c r="C124" s="367"/>
      <c r="D124" s="367"/>
      <c r="E124" s="368"/>
    </row>
    <row r="125" spans="2:5" ht="13.5" thickBot="1">
      <c r="B125" s="153"/>
      <c r="C125" s="126">
        <f>C94+C99+C106+C114+C123</f>
        <v>2937103.5700000003</v>
      </c>
      <c r="D125" s="126">
        <f>D94+D99+D106+D114+D123</f>
        <v>3106447.7500000005</v>
      </c>
      <c r="E125" s="126">
        <f>E94+E99+E106+E114+E123</f>
        <v>169344.1800000001</v>
      </c>
    </row>
  </sheetData>
  <sheetProtection/>
  <mergeCells count="23">
    <mergeCell ref="A6:E6"/>
    <mergeCell ref="A19:D19"/>
    <mergeCell ref="A20:D20"/>
    <mergeCell ref="D24:E24"/>
    <mergeCell ref="A2:B2"/>
    <mergeCell ref="C2:E2"/>
    <mergeCell ref="C3:E3"/>
    <mergeCell ref="B4:E4"/>
    <mergeCell ref="D83:E83"/>
    <mergeCell ref="D84:E84"/>
    <mergeCell ref="D85:E85"/>
    <mergeCell ref="D86:E86"/>
    <mergeCell ref="D79:E79"/>
    <mergeCell ref="D80:E80"/>
    <mergeCell ref="D81:E81"/>
    <mergeCell ref="D82:E82"/>
    <mergeCell ref="B107:E107"/>
    <mergeCell ref="B124:E124"/>
    <mergeCell ref="B115:E115"/>
    <mergeCell ref="D87:E87"/>
    <mergeCell ref="B90:E90"/>
    <mergeCell ref="B95:E95"/>
    <mergeCell ref="B100:E10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7.125" style="0" customWidth="1"/>
    <col min="3" max="3" width="10.37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796</v>
      </c>
      <c r="C7" s="26"/>
      <c r="D7" s="24"/>
    </row>
    <row r="8" spans="1:4" ht="15">
      <c r="A8" s="26"/>
      <c r="B8" s="27" t="s">
        <v>115</v>
      </c>
      <c r="C8" s="38">
        <v>2448.5</v>
      </c>
      <c r="D8" s="92" t="s">
        <v>116</v>
      </c>
    </row>
    <row r="9" spans="1:4" ht="15">
      <c r="A9" s="26"/>
      <c r="B9" s="27" t="s">
        <v>654</v>
      </c>
      <c r="C9" s="93">
        <v>329.9</v>
      </c>
      <c r="D9" s="92" t="s">
        <v>116</v>
      </c>
    </row>
    <row r="10" spans="1:4" ht="15">
      <c r="A10" s="26"/>
      <c r="B10" s="27"/>
      <c r="C10" s="38"/>
      <c r="D10" s="92"/>
    </row>
    <row r="11" spans="1:5" ht="13.5" thickBot="1">
      <c r="A11" s="23" t="s">
        <v>635</v>
      </c>
      <c r="B11" s="3" t="s">
        <v>636</v>
      </c>
      <c r="C11" s="12"/>
      <c r="D11" s="21"/>
      <c r="E11" s="31"/>
    </row>
    <row r="12" spans="1:5" ht="39" thickBot="1">
      <c r="A12" s="237"/>
      <c r="B12" s="238" t="s">
        <v>103</v>
      </c>
      <c r="C12" s="239" t="s">
        <v>104</v>
      </c>
      <c r="D12" s="240" t="s">
        <v>306</v>
      </c>
      <c r="E12" s="241" t="s">
        <v>378</v>
      </c>
    </row>
    <row r="13" spans="1:5" ht="12.75">
      <c r="A13" s="113">
        <v>1</v>
      </c>
      <c r="B13" s="141" t="s">
        <v>285</v>
      </c>
      <c r="C13" s="234">
        <v>284230.34</v>
      </c>
      <c r="D13" s="218">
        <v>304365.39</v>
      </c>
      <c r="E13" s="242">
        <f aca="true" t="shared" si="0" ref="E13:E19">D13-C13</f>
        <v>20135.04999999999</v>
      </c>
    </row>
    <row r="14" spans="1:5" ht="12.75">
      <c r="A14" s="84">
        <v>2</v>
      </c>
      <c r="B14" s="5" t="s">
        <v>637</v>
      </c>
      <c r="C14" s="10">
        <v>139625.04</v>
      </c>
      <c r="D14" s="98">
        <v>148820.7</v>
      </c>
      <c r="E14" s="57">
        <f t="shared" si="0"/>
        <v>9195.660000000003</v>
      </c>
    </row>
    <row r="15" spans="1:5" ht="12.75">
      <c r="A15" s="84">
        <v>3</v>
      </c>
      <c r="B15" s="5" t="s">
        <v>364</v>
      </c>
      <c r="C15" s="10">
        <v>48422.23</v>
      </c>
      <c r="D15" s="98">
        <v>33104.08</v>
      </c>
      <c r="E15" s="57">
        <f t="shared" si="0"/>
        <v>-15318.150000000001</v>
      </c>
    </row>
    <row r="16" spans="1:5" ht="12.75">
      <c r="A16" s="84">
        <v>4</v>
      </c>
      <c r="B16" s="5" t="s">
        <v>633</v>
      </c>
      <c r="C16" s="10">
        <v>36933.1</v>
      </c>
      <c r="D16" s="98">
        <v>41316.48</v>
      </c>
      <c r="E16" s="57">
        <f t="shared" si="0"/>
        <v>4383.380000000005</v>
      </c>
    </row>
    <row r="17" spans="1:5" ht="12.75">
      <c r="A17" s="84">
        <v>5</v>
      </c>
      <c r="B17" s="5" t="s">
        <v>1036</v>
      </c>
      <c r="C17" s="10">
        <v>26825.66</v>
      </c>
      <c r="D17" s="98">
        <v>26825.66</v>
      </c>
      <c r="E17" s="57">
        <f t="shared" si="0"/>
        <v>0</v>
      </c>
    </row>
    <row r="18" spans="1:5" ht="12.75">
      <c r="A18" s="87">
        <v>6</v>
      </c>
      <c r="B18" s="5" t="s">
        <v>232</v>
      </c>
      <c r="C18" s="125">
        <f>23185.76+45505.22</f>
        <v>68690.98</v>
      </c>
      <c r="D18" s="125">
        <f>21853.23+43880.8</f>
        <v>65734.03</v>
      </c>
      <c r="E18" s="128">
        <f t="shared" si="0"/>
        <v>-2956.949999999997</v>
      </c>
    </row>
    <row r="19" spans="1:5" ht="12.75">
      <c r="A19" s="84">
        <v>7</v>
      </c>
      <c r="B19" s="5" t="s">
        <v>29</v>
      </c>
      <c r="C19" s="10">
        <f>3500+2400</f>
        <v>5900</v>
      </c>
      <c r="D19" s="98">
        <f>4200+2400</f>
        <v>6600</v>
      </c>
      <c r="E19" s="57">
        <f t="shared" si="0"/>
        <v>700</v>
      </c>
    </row>
    <row r="20" spans="1:5" ht="13.5" thickBot="1">
      <c r="A20" s="250"/>
      <c r="B20" s="251"/>
      <c r="C20" s="118">
        <f>SUM(C13:C19)</f>
        <v>610627.35</v>
      </c>
      <c r="D20" s="118">
        <f>SUM(D13:D19)</f>
        <v>626766.3400000001</v>
      </c>
      <c r="E20" s="137">
        <f>SUM(E13:E19)</f>
        <v>16138.989999999998</v>
      </c>
    </row>
    <row r="21" spans="1:5" ht="12.75">
      <c r="A21" s="385" t="s">
        <v>793</v>
      </c>
      <c r="B21" s="386"/>
      <c r="C21" s="386"/>
      <c r="D21" s="386"/>
      <c r="E21" s="108">
        <f>E127</f>
        <v>107182.16</v>
      </c>
    </row>
    <row r="22" spans="1:5" ht="12.75">
      <c r="A22" s="387" t="s">
        <v>794</v>
      </c>
      <c r="B22" s="384"/>
      <c r="C22" s="384"/>
      <c r="D22" s="384"/>
      <c r="E22" s="22">
        <v>296445.59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12.75">
      <c r="A25" s="86">
        <v>1</v>
      </c>
      <c r="B25" s="64" t="s">
        <v>1095</v>
      </c>
      <c r="C25" s="80">
        <f>C63</f>
        <v>283694.86</v>
      </c>
      <c r="E25" s="29"/>
    </row>
    <row r="26" spans="1:5" ht="12.75" customHeight="1">
      <c r="A26" s="91">
        <v>2</v>
      </c>
      <c r="B26" s="25" t="s">
        <v>344</v>
      </c>
      <c r="C26" s="102">
        <f>C72</f>
        <v>10764.23</v>
      </c>
      <c r="D26" s="388"/>
      <c r="E26" s="389"/>
    </row>
    <row r="27" spans="1:5" ht="12.75">
      <c r="A27" s="84">
        <v>3</v>
      </c>
      <c r="B27" s="9" t="s">
        <v>649</v>
      </c>
      <c r="C27" s="48">
        <v>7505.88</v>
      </c>
      <c r="E27" s="29"/>
    </row>
    <row r="28" spans="1:5" ht="12.75">
      <c r="A28" s="84">
        <v>4</v>
      </c>
      <c r="B28" s="9" t="s">
        <v>122</v>
      </c>
      <c r="C28" s="48">
        <f>(C8*0.55*12)</f>
        <v>16160.100000000002</v>
      </c>
      <c r="E28" s="29"/>
    </row>
    <row r="29" spans="1:5" ht="12.75">
      <c r="A29" s="84">
        <v>5</v>
      </c>
      <c r="B29" s="9" t="s">
        <v>658</v>
      </c>
      <c r="C29" s="79">
        <v>32579.04</v>
      </c>
      <c r="E29" s="29"/>
    </row>
    <row r="30" spans="1:5" ht="12.75">
      <c r="A30" s="91">
        <v>6</v>
      </c>
      <c r="B30" s="25" t="s">
        <v>61</v>
      </c>
      <c r="C30" s="203">
        <v>3400</v>
      </c>
      <c r="E30" s="29"/>
    </row>
    <row r="31" spans="1:5" ht="12.75">
      <c r="A31" s="84">
        <v>7</v>
      </c>
      <c r="B31" s="25" t="s">
        <v>1006</v>
      </c>
      <c r="C31" s="203">
        <v>15283.06</v>
      </c>
      <c r="E31" s="29"/>
    </row>
    <row r="32" spans="1:5" ht="25.5">
      <c r="A32" s="91">
        <v>8</v>
      </c>
      <c r="B32" s="346" t="s">
        <v>1090</v>
      </c>
      <c r="C32" s="96">
        <v>50</v>
      </c>
      <c r="E32" s="29"/>
    </row>
    <row r="33" spans="1:5" ht="12.75">
      <c r="A33" s="84">
        <v>9</v>
      </c>
      <c r="B33" s="346" t="s">
        <v>26</v>
      </c>
      <c r="C33" s="96">
        <v>600</v>
      </c>
      <c r="E33" s="29"/>
    </row>
    <row r="34" spans="1:5" ht="25.5">
      <c r="A34" s="91">
        <v>10</v>
      </c>
      <c r="B34" s="25" t="s">
        <v>60</v>
      </c>
      <c r="C34" s="96">
        <v>-2300</v>
      </c>
      <c r="E34" s="29"/>
    </row>
    <row r="35" spans="1:3" ht="12.75">
      <c r="A35" s="50"/>
      <c r="B35" s="20" t="s">
        <v>629</v>
      </c>
      <c r="C35" s="51">
        <f>SUM(C25:C34)</f>
        <v>367737.1699999999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(C20)*15%</f>
        <v>91594.1025</v>
      </c>
    </row>
    <row r="38" spans="1:3" ht="12.75">
      <c r="A38" s="84">
        <v>2</v>
      </c>
      <c r="B38" s="9" t="s">
        <v>813</v>
      </c>
      <c r="C38" s="48">
        <f>C78</f>
        <v>5303.097937104701</v>
      </c>
    </row>
    <row r="39" spans="1:3" ht="12.75">
      <c r="A39" s="84">
        <v>3</v>
      </c>
      <c r="B39" s="9" t="s">
        <v>653</v>
      </c>
      <c r="C39" s="48">
        <f>C79</f>
        <v>5759.950140105278</v>
      </c>
    </row>
    <row r="40" spans="1:3" ht="12.75">
      <c r="A40" s="84">
        <v>4</v>
      </c>
      <c r="B40" s="9" t="s">
        <v>1114</v>
      </c>
      <c r="C40" s="52">
        <f>C80</f>
        <v>11692.92908086257</v>
      </c>
    </row>
    <row r="41" spans="1:3" ht="12.75">
      <c r="A41" s="84">
        <v>5</v>
      </c>
      <c r="B41" s="9" t="s">
        <v>162</v>
      </c>
      <c r="C41" s="52">
        <f>C81</f>
        <v>9695.030918518438</v>
      </c>
    </row>
    <row r="42" spans="1:3" ht="12.75">
      <c r="A42" s="84">
        <v>6</v>
      </c>
      <c r="B42" s="9" t="s">
        <v>1051</v>
      </c>
      <c r="C42" s="48">
        <f>C82+C84+C85+C86+C83</f>
        <v>16452.426482208633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140497.53705879961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C20*2%</f>
        <v>12212.547</v>
      </c>
    </row>
    <row r="50" spans="1:3" ht="12.75">
      <c r="A50" s="84">
        <v>2</v>
      </c>
      <c r="B50" s="9" t="s">
        <v>391</v>
      </c>
      <c r="C50" s="48">
        <f>C51</f>
        <v>35904.888179999994</v>
      </c>
    </row>
    <row r="51" spans="1:4" ht="12.75">
      <c r="A51" s="49"/>
      <c r="B51" s="5" t="s">
        <v>334</v>
      </c>
      <c r="C51" s="41">
        <f>(C20-C49)*6%</f>
        <v>35904.888179999994</v>
      </c>
      <c r="D51" s="19"/>
    </row>
    <row r="52" spans="1:3" ht="13.5" thickBot="1">
      <c r="A52" s="54"/>
      <c r="B52" s="55" t="s">
        <v>967</v>
      </c>
      <c r="C52" s="56">
        <f>C49+C50</f>
        <v>48117.43517999999</v>
      </c>
    </row>
    <row r="53" spans="1:3" ht="12.75">
      <c r="A53" s="23"/>
      <c r="B53" s="4" t="s">
        <v>288</v>
      </c>
      <c r="C53" s="11">
        <f>C35+C47+C52</f>
        <v>556352.1422387996</v>
      </c>
    </row>
    <row r="54" spans="1:3" ht="12.75">
      <c r="A54" s="23"/>
      <c r="B54" s="77"/>
      <c r="C54" s="1"/>
    </row>
    <row r="55" spans="1:3" ht="15">
      <c r="A55" s="23"/>
      <c r="B55" s="14" t="s">
        <v>812</v>
      </c>
      <c r="C55" s="11">
        <v>570473.43</v>
      </c>
    </row>
    <row r="56" spans="1:3" ht="15">
      <c r="A56" s="23"/>
      <c r="B56" s="14" t="s">
        <v>12</v>
      </c>
      <c r="C56" s="11">
        <v>157225.62</v>
      </c>
    </row>
    <row r="57" spans="1:3" ht="15">
      <c r="A57" s="23"/>
      <c r="B57" s="14" t="s">
        <v>180</v>
      </c>
      <c r="C57" s="11">
        <f>C53+C55-C20-C56</f>
        <v>358972.6022387997</v>
      </c>
    </row>
    <row r="58" ht="12.75">
      <c r="B58" s="1" t="s">
        <v>85</v>
      </c>
    </row>
    <row r="59" ht="12.75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173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2778.4</v>
      </c>
      <c r="E62" t="s">
        <v>116</v>
      </c>
    </row>
    <row r="63" spans="1:5" ht="12.75">
      <c r="A63" s="60" t="s">
        <v>218</v>
      </c>
      <c r="B63" s="39" t="s">
        <v>797</v>
      </c>
      <c r="C63" s="47">
        <v>283694.86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44533.45</v>
      </c>
      <c r="D65" s="15"/>
      <c r="E65" s="15"/>
    </row>
    <row r="66" spans="1:5" ht="12.75">
      <c r="A66" s="62" t="s">
        <v>166</v>
      </c>
      <c r="B66" s="6" t="s">
        <v>210</v>
      </c>
      <c r="C66" s="41">
        <v>3991.94</v>
      </c>
      <c r="D66" s="15"/>
      <c r="E66" s="15"/>
    </row>
    <row r="67" spans="1:5" ht="12.75">
      <c r="A67" s="62" t="s">
        <v>166</v>
      </c>
      <c r="B67" s="6" t="s">
        <v>974</v>
      </c>
      <c r="C67" s="41">
        <v>4000</v>
      </c>
      <c r="D67" s="15"/>
      <c r="E67" s="15"/>
    </row>
    <row r="68" spans="1:5" ht="12.75">
      <c r="A68" s="62" t="s">
        <v>166</v>
      </c>
      <c r="B68" s="6" t="s">
        <v>270</v>
      </c>
      <c r="C68" s="41">
        <v>800</v>
      </c>
      <c r="D68" s="15"/>
      <c r="E68" s="15"/>
    </row>
    <row r="69" spans="1:5" ht="12.75">
      <c r="A69" s="62" t="s">
        <v>166</v>
      </c>
      <c r="B69" s="6" t="s">
        <v>277</v>
      </c>
      <c r="C69" s="41">
        <v>12950</v>
      </c>
      <c r="D69" s="15"/>
      <c r="E69" s="15"/>
    </row>
    <row r="70" spans="1:5" ht="12.75">
      <c r="A70" s="62" t="s">
        <v>166</v>
      </c>
      <c r="B70" s="6" t="s">
        <v>271</v>
      </c>
      <c r="C70" s="41">
        <v>2700</v>
      </c>
      <c r="D70" s="15"/>
      <c r="E70" s="15"/>
    </row>
    <row r="71" spans="1:5" ht="13.5" thickBot="1">
      <c r="A71" s="63" t="s">
        <v>166</v>
      </c>
      <c r="B71" s="42" t="s">
        <v>818</v>
      </c>
      <c r="C71" s="46">
        <v>3625.92</v>
      </c>
      <c r="D71" s="15"/>
      <c r="E71" s="15"/>
    </row>
    <row r="72" spans="1:5" ht="12.75">
      <c r="A72" s="60" t="s">
        <v>328</v>
      </c>
      <c r="B72" s="39" t="s">
        <v>343</v>
      </c>
      <c r="C72" s="47">
        <v>10764.23</v>
      </c>
      <c r="D72" s="15"/>
      <c r="E72" s="12"/>
    </row>
    <row r="73" spans="1:5" ht="12.75">
      <c r="A73" s="61"/>
      <c r="B73" s="6" t="s">
        <v>118</v>
      </c>
      <c r="C73" s="41"/>
      <c r="D73" s="15"/>
      <c r="E73" s="12"/>
    </row>
    <row r="74" spans="1:5" ht="12.75">
      <c r="A74" s="62" t="s">
        <v>166</v>
      </c>
      <c r="B74" s="6" t="s">
        <v>380</v>
      </c>
      <c r="C74" s="41">
        <v>616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140.01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140497.53705879964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C37</f>
        <v>91594.1025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5303.097937104701</v>
      </c>
      <c r="D78" s="375" t="s">
        <v>261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5759.950140105278</v>
      </c>
      <c r="D79" s="377" t="s">
        <v>262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11692.92908086257</v>
      </c>
      <c r="D80" s="379" t="s">
        <v>263</v>
      </c>
      <c r="E80" s="380"/>
    </row>
    <row r="81" spans="1:5" ht="25.5">
      <c r="A81" s="73" t="s">
        <v>166</v>
      </c>
      <c r="B81" s="72" t="s">
        <v>231</v>
      </c>
      <c r="C81" s="318">
        <f>845684.35/242356.05*D62</f>
        <v>9695.030918518438</v>
      </c>
      <c r="D81" s="381" t="s">
        <v>264</v>
      </c>
      <c r="E81" s="382"/>
    </row>
    <row r="82" spans="1:5" ht="12.75">
      <c r="A82" s="73" t="s">
        <v>166</v>
      </c>
      <c r="B82" s="74" t="s">
        <v>808</v>
      </c>
      <c r="C82" s="318">
        <f>642562.44/242356.05*D62</f>
        <v>7366.415995375399</v>
      </c>
      <c r="D82" s="371" t="s">
        <v>265</v>
      </c>
      <c r="E82" s="372"/>
    </row>
    <row r="83" spans="1:5" ht="12.75">
      <c r="A83" s="73" t="s">
        <v>166</v>
      </c>
      <c r="B83" s="74" t="s">
        <v>826</v>
      </c>
      <c r="C83" s="318">
        <f>51615/196822.43*D62</f>
        <v>728.6116526454837</v>
      </c>
      <c r="D83" s="371" t="s">
        <v>266</v>
      </c>
      <c r="E83" s="372"/>
    </row>
    <row r="84" spans="1:5" ht="12.75">
      <c r="A84" s="73" t="s">
        <v>166</v>
      </c>
      <c r="B84" s="74" t="s">
        <v>655</v>
      </c>
      <c r="C84" s="318">
        <f>129011.28/196822.43*D62</f>
        <v>1821.1590028230014</v>
      </c>
      <c r="D84" s="371" t="s">
        <v>267</v>
      </c>
      <c r="E84" s="372"/>
    </row>
    <row r="85" spans="1:5" ht="12.75">
      <c r="A85" s="73" t="s">
        <v>166</v>
      </c>
      <c r="B85" s="74" t="s">
        <v>656</v>
      </c>
      <c r="C85" s="318">
        <f>164128/196822.43*D62</f>
        <v>2316.876360077457</v>
      </c>
      <c r="D85" s="373" t="s">
        <v>268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298900.58/196822.43*D62</f>
        <v>4219.363471287292</v>
      </c>
      <c r="D86" s="369" t="s">
        <v>269</v>
      </c>
      <c r="E86" s="370"/>
    </row>
    <row r="87" ht="13.5" thickBot="1"/>
    <row r="88" spans="2:5" ht="26.25" thickBot="1">
      <c r="B88" s="143"/>
      <c r="C88" s="205" t="s">
        <v>104</v>
      </c>
      <c r="D88" s="236" t="s">
        <v>306</v>
      </c>
      <c r="E88" s="130" t="s">
        <v>305</v>
      </c>
    </row>
    <row r="89" spans="2:5" ht="13.5" thickBot="1">
      <c r="B89" s="363" t="s">
        <v>937</v>
      </c>
      <c r="C89" s="364"/>
      <c r="D89" s="364"/>
      <c r="E89" s="365"/>
    </row>
    <row r="90" spans="2:5" ht="12.75">
      <c r="B90" s="140" t="s">
        <v>285</v>
      </c>
      <c r="C90" s="234">
        <v>175968.41</v>
      </c>
      <c r="D90" s="218">
        <v>200075.13</v>
      </c>
      <c r="E90" s="44">
        <f>D90-C90</f>
        <v>24106.72</v>
      </c>
    </row>
    <row r="91" spans="2:5" ht="12.75">
      <c r="B91" s="115" t="s">
        <v>637</v>
      </c>
      <c r="C91" s="10">
        <v>94558.12</v>
      </c>
      <c r="D91" s="99">
        <v>106796.53</v>
      </c>
      <c r="E91" s="45">
        <f>D91-C91</f>
        <v>12238.410000000003</v>
      </c>
    </row>
    <row r="92" spans="2:5" ht="13.5" thickBot="1">
      <c r="B92" s="157" t="s">
        <v>232</v>
      </c>
      <c r="C92" s="225">
        <v>11736.48</v>
      </c>
      <c r="D92" s="235">
        <v>11736.48</v>
      </c>
      <c r="E92" s="46">
        <f>D92-C92</f>
        <v>0</v>
      </c>
    </row>
    <row r="93" spans="2:5" ht="13.5" thickBot="1">
      <c r="B93" s="124"/>
      <c r="C93" s="252">
        <f>SUM(C90:C92)</f>
        <v>282263.01</v>
      </c>
      <c r="D93" s="252">
        <f>SUM(D90:D92)</f>
        <v>318608.14</v>
      </c>
      <c r="E93" s="119">
        <f>SUM(E90:E92)</f>
        <v>36345.130000000005</v>
      </c>
    </row>
    <row r="94" spans="2:5" ht="13.5" thickBot="1">
      <c r="B94" s="363" t="s">
        <v>938</v>
      </c>
      <c r="C94" s="364"/>
      <c r="D94" s="364"/>
      <c r="E94" s="365"/>
    </row>
    <row r="95" spans="2:5" ht="12.75">
      <c r="B95" s="140" t="s">
        <v>285</v>
      </c>
      <c r="C95" s="234">
        <v>236659.73</v>
      </c>
      <c r="D95" s="218">
        <v>255657.33</v>
      </c>
      <c r="E95" s="253">
        <f>D95-C95</f>
        <v>18997.599999999977</v>
      </c>
    </row>
    <row r="96" spans="2:5" ht="12.75">
      <c r="B96" s="115" t="s">
        <v>637</v>
      </c>
      <c r="C96" s="10">
        <v>115298.77</v>
      </c>
      <c r="D96" s="99">
        <v>124302.36</v>
      </c>
      <c r="E96" s="53">
        <f>D96-C96</f>
        <v>9003.589999999997</v>
      </c>
    </row>
    <row r="97" spans="2:5" ht="12.75">
      <c r="B97" s="115" t="s">
        <v>232</v>
      </c>
      <c r="C97" s="125">
        <v>30200.6</v>
      </c>
      <c r="D97" s="125">
        <v>39867.9</v>
      </c>
      <c r="E97" s="81">
        <f>D97-C97</f>
        <v>9667.300000000003</v>
      </c>
    </row>
    <row r="98" spans="2:5" ht="25.5">
      <c r="B98" s="220" t="s">
        <v>119</v>
      </c>
      <c r="C98" s="125">
        <v>7400</v>
      </c>
      <c r="D98" s="125">
        <v>7400</v>
      </c>
      <c r="E98" s="81">
        <f>D98-C98</f>
        <v>0</v>
      </c>
    </row>
    <row r="99" spans="2:5" ht="12.75">
      <c r="B99" s="115" t="s">
        <v>408</v>
      </c>
      <c r="C99" s="10">
        <v>4110.82</v>
      </c>
      <c r="D99" s="99">
        <v>5238.15</v>
      </c>
      <c r="E99" s="53">
        <f>D99-C99</f>
        <v>1127.33</v>
      </c>
    </row>
    <row r="100" spans="2:5" ht="13.5" thickBot="1">
      <c r="B100" s="157" t="s">
        <v>377</v>
      </c>
      <c r="C100" s="142">
        <v>5775.63</v>
      </c>
      <c r="D100" s="142">
        <v>5775.63</v>
      </c>
      <c r="E100" s="85">
        <v>0</v>
      </c>
    </row>
    <row r="101" spans="2:5" ht="13.5" thickBot="1">
      <c r="B101" s="187"/>
      <c r="C101" s="254">
        <f>SUM(C95:C100)</f>
        <v>399445.55</v>
      </c>
      <c r="D101" s="255">
        <f>SUM(D95:D100)</f>
        <v>438241.37000000005</v>
      </c>
      <c r="E101" s="256">
        <f>SUM(E95:E100)</f>
        <v>38795.81999999998</v>
      </c>
    </row>
    <row r="102" spans="2:5" ht="13.5" thickBot="1">
      <c r="B102" s="418" t="s">
        <v>639</v>
      </c>
      <c r="C102" s="419"/>
      <c r="D102" s="419"/>
      <c r="E102" s="420"/>
    </row>
    <row r="103" spans="2:5" ht="12.75">
      <c r="B103" s="140" t="s">
        <v>285</v>
      </c>
      <c r="C103" s="234">
        <v>252906.33</v>
      </c>
      <c r="D103" s="218">
        <v>258400.76</v>
      </c>
      <c r="E103" s="253">
        <f>D103-C103</f>
        <v>5494.430000000022</v>
      </c>
    </row>
    <row r="104" spans="2:5" ht="12.75">
      <c r="B104" s="115" t="s">
        <v>637</v>
      </c>
      <c r="C104" s="10">
        <v>123610.68</v>
      </c>
      <c r="D104" s="99">
        <v>125637.67</v>
      </c>
      <c r="E104" s="53">
        <f>D104-C104</f>
        <v>2026.9900000000052</v>
      </c>
    </row>
    <row r="105" spans="2:5" ht="12.75">
      <c r="B105" s="115" t="s">
        <v>408</v>
      </c>
      <c r="C105" s="10">
        <v>18437.6</v>
      </c>
      <c r="D105" s="99">
        <v>17701.32</v>
      </c>
      <c r="E105" s="53">
        <f>D105-C105</f>
        <v>-736.2799999999988</v>
      </c>
    </row>
    <row r="106" spans="2:5" ht="12.75">
      <c r="B106" s="116" t="s">
        <v>1200</v>
      </c>
      <c r="C106" s="258">
        <v>17300.89</v>
      </c>
      <c r="D106" s="258">
        <v>17300.89</v>
      </c>
      <c r="E106" s="53">
        <f>D106-C106</f>
        <v>0</v>
      </c>
    </row>
    <row r="107" spans="2:5" ht="26.25" thickBot="1">
      <c r="B107" s="156" t="s">
        <v>119</v>
      </c>
      <c r="C107" s="142">
        <v>4200</v>
      </c>
      <c r="D107" s="142">
        <v>4200</v>
      </c>
      <c r="E107" s="85">
        <v>0</v>
      </c>
    </row>
    <row r="108" spans="2:5" ht="13.5" thickBot="1">
      <c r="B108" s="187"/>
      <c r="C108" s="254">
        <f>SUM(C103:C107)</f>
        <v>416455.5</v>
      </c>
      <c r="D108" s="255">
        <f>SUM(D103:D107)</f>
        <v>423240.64</v>
      </c>
      <c r="E108" s="256">
        <f>SUM(E103:E107)</f>
        <v>6785.1400000000285</v>
      </c>
    </row>
    <row r="109" spans="2:5" ht="13.5" thickBot="1">
      <c r="B109" s="363" t="s">
        <v>1113</v>
      </c>
      <c r="C109" s="364"/>
      <c r="D109" s="364"/>
      <c r="E109" s="365"/>
    </row>
    <row r="110" spans="2:5" ht="12.75">
      <c r="B110" s="140" t="s">
        <v>285</v>
      </c>
      <c r="C110" s="234">
        <v>270928.42</v>
      </c>
      <c r="D110" s="218">
        <v>261056.91</v>
      </c>
      <c r="E110" s="253">
        <f>D110-C110</f>
        <v>-9871.50999999998</v>
      </c>
    </row>
    <row r="111" spans="2:5" ht="12.75">
      <c r="B111" s="115" t="s">
        <v>637</v>
      </c>
      <c r="C111" s="10">
        <v>132723.1</v>
      </c>
      <c r="D111" s="99">
        <v>128746.23</v>
      </c>
      <c r="E111" s="53">
        <f>D111-C111</f>
        <v>-3976.87000000001</v>
      </c>
    </row>
    <row r="112" spans="2:5" ht="12.75">
      <c r="B112" s="115" t="s">
        <v>408</v>
      </c>
      <c r="C112" s="10">
        <v>33192.38</v>
      </c>
      <c r="D112" s="99">
        <v>36278.19</v>
      </c>
      <c r="E112" s="81">
        <f>D112-C112</f>
        <v>3085.810000000005</v>
      </c>
    </row>
    <row r="113" spans="2:5" ht="12.75">
      <c r="B113" s="116" t="s">
        <v>364</v>
      </c>
      <c r="C113" s="258">
        <v>105942.45</v>
      </c>
      <c r="D113" s="258">
        <v>128308.78</v>
      </c>
      <c r="E113" s="81">
        <f>D113-C113</f>
        <v>22366.33</v>
      </c>
    </row>
    <row r="114" spans="2:5" ht="12.75">
      <c r="B114" s="115" t="s">
        <v>232</v>
      </c>
      <c r="C114" s="125">
        <v>120678.74</v>
      </c>
      <c r="D114" s="125">
        <v>118192.06</v>
      </c>
      <c r="E114" s="53">
        <f>D114-C114</f>
        <v>-2486.6800000000076</v>
      </c>
    </row>
    <row r="115" spans="2:5" ht="13.5" thickBot="1">
      <c r="B115" s="156" t="s">
        <v>792</v>
      </c>
      <c r="C115" s="142">
        <v>3400</v>
      </c>
      <c r="D115" s="142">
        <v>3600</v>
      </c>
      <c r="E115" s="85">
        <v>0</v>
      </c>
    </row>
    <row r="116" spans="2:5" ht="13.5" thickBot="1">
      <c r="B116" s="187"/>
      <c r="C116" s="254">
        <f>SUM(C110:C115)</f>
        <v>666865.09</v>
      </c>
      <c r="D116" s="255">
        <f>SUM(D110:D115)</f>
        <v>676182.1699999999</v>
      </c>
      <c r="E116" s="256">
        <f>SUM(E110:E115)</f>
        <v>9117.080000000009</v>
      </c>
    </row>
    <row r="117" spans="2:5" ht="13.5" thickBot="1">
      <c r="B117" s="363" t="s">
        <v>87</v>
      </c>
      <c r="C117" s="364"/>
      <c r="D117" s="364"/>
      <c r="E117" s="365"/>
    </row>
    <row r="118" spans="2:5" ht="12.75">
      <c r="B118" s="140" t="s">
        <v>285</v>
      </c>
      <c r="C118" s="234">
        <v>284230.34</v>
      </c>
      <c r="D118" s="218">
        <v>304365.39</v>
      </c>
      <c r="E118" s="253">
        <f aca="true" t="shared" si="1" ref="E118:E124">D118-C118</f>
        <v>20135.04999999999</v>
      </c>
    </row>
    <row r="119" spans="2:5" ht="12.75">
      <c r="B119" s="115" t="s">
        <v>637</v>
      </c>
      <c r="C119" s="10">
        <v>139625.04</v>
      </c>
      <c r="D119" s="98">
        <v>148820.7</v>
      </c>
      <c r="E119" s="53">
        <f t="shared" si="1"/>
        <v>9195.660000000003</v>
      </c>
    </row>
    <row r="120" spans="2:5" ht="12.75">
      <c r="B120" s="115" t="s">
        <v>364</v>
      </c>
      <c r="C120" s="10">
        <v>48422.23</v>
      </c>
      <c r="D120" s="98">
        <v>33104.08</v>
      </c>
      <c r="E120" s="81">
        <f t="shared" si="1"/>
        <v>-15318.150000000001</v>
      </c>
    </row>
    <row r="121" spans="2:5" ht="12.75">
      <c r="B121" s="115" t="s">
        <v>633</v>
      </c>
      <c r="C121" s="10">
        <v>36933.1</v>
      </c>
      <c r="D121" s="98">
        <v>41316.48</v>
      </c>
      <c r="E121" s="81">
        <f t="shared" si="1"/>
        <v>4383.380000000005</v>
      </c>
    </row>
    <row r="122" spans="2:5" ht="12.75">
      <c r="B122" s="115" t="s">
        <v>1036</v>
      </c>
      <c r="C122" s="10">
        <v>26825.66</v>
      </c>
      <c r="D122" s="98">
        <v>26825.66</v>
      </c>
      <c r="E122" s="81">
        <f t="shared" si="1"/>
        <v>0</v>
      </c>
    </row>
    <row r="123" spans="2:5" ht="12.75">
      <c r="B123" s="115" t="s">
        <v>232</v>
      </c>
      <c r="C123" s="125">
        <f>23185.76+45505.22</f>
        <v>68690.98</v>
      </c>
      <c r="D123" s="125">
        <f>21853.23+43880.8</f>
        <v>65734.03</v>
      </c>
      <c r="E123" s="81">
        <f t="shared" si="1"/>
        <v>-2956.949999999997</v>
      </c>
    </row>
    <row r="124" spans="2:5" ht="13.5" thickBot="1">
      <c r="B124" s="157" t="s">
        <v>29</v>
      </c>
      <c r="C124" s="225">
        <f>3500+2400</f>
        <v>5900</v>
      </c>
      <c r="D124" s="227">
        <f>4200+2400</f>
        <v>6600</v>
      </c>
      <c r="E124" s="85">
        <f t="shared" si="1"/>
        <v>700</v>
      </c>
    </row>
    <row r="125" spans="2:5" ht="13.5" thickBot="1">
      <c r="B125" s="324"/>
      <c r="C125" s="119">
        <f>SUM(C118:C124)</f>
        <v>610627.35</v>
      </c>
      <c r="D125" s="119">
        <f>SUM(D118:D124)</f>
        <v>626766.3400000001</v>
      </c>
      <c r="E125" s="119">
        <f>SUM(E118:E124)</f>
        <v>16138.989999999998</v>
      </c>
    </row>
    <row r="126" spans="2:5" ht="13.5" thickBot="1">
      <c r="B126" s="366" t="s">
        <v>379</v>
      </c>
      <c r="C126" s="367"/>
      <c r="D126" s="367"/>
      <c r="E126" s="368"/>
    </row>
    <row r="127" spans="2:5" ht="13.5" thickBot="1">
      <c r="B127" s="153"/>
      <c r="C127" s="126">
        <f>C93+C101+C108+C116+C125</f>
        <v>2375656.5</v>
      </c>
      <c r="D127" s="126">
        <f>D93+D101+D108+D116+D125</f>
        <v>2483038.66</v>
      </c>
      <c r="E127" s="126">
        <f>E93+E101+E108+E116+E125</f>
        <v>107182.16</v>
      </c>
    </row>
  </sheetData>
  <sheetProtection/>
  <mergeCells count="23">
    <mergeCell ref="A6:E6"/>
    <mergeCell ref="A21:D21"/>
    <mergeCell ref="A22:D22"/>
    <mergeCell ref="D26:E26"/>
    <mergeCell ref="A2:B2"/>
    <mergeCell ref="C2:E2"/>
    <mergeCell ref="C3:E3"/>
    <mergeCell ref="B4:E4"/>
    <mergeCell ref="D82:E82"/>
    <mergeCell ref="D83:E83"/>
    <mergeCell ref="D84:E84"/>
    <mergeCell ref="D85:E85"/>
    <mergeCell ref="D78:E78"/>
    <mergeCell ref="D79:E79"/>
    <mergeCell ref="D80:E80"/>
    <mergeCell ref="D81:E81"/>
    <mergeCell ref="B109:E109"/>
    <mergeCell ref="B126:E126"/>
    <mergeCell ref="B117:E117"/>
    <mergeCell ref="D86:E86"/>
    <mergeCell ref="B89:E89"/>
    <mergeCell ref="B94:E94"/>
    <mergeCell ref="B102:E102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7.625" style="0" customWidth="1"/>
    <col min="3" max="3" width="10.25390625" style="0" customWidth="1"/>
    <col min="4" max="4" width="12.625" style="0" customWidth="1"/>
    <col min="5" max="5" width="13.1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604</v>
      </c>
      <c r="C7" s="26"/>
      <c r="D7" s="24"/>
    </row>
    <row r="8" spans="1:4" ht="15">
      <c r="A8" s="26"/>
      <c r="B8" s="27" t="s">
        <v>115</v>
      </c>
      <c r="C8" s="38">
        <v>2949.4</v>
      </c>
      <c r="D8" s="92" t="s">
        <v>116</v>
      </c>
    </row>
    <row r="9" spans="1:4" ht="15">
      <c r="A9" s="26"/>
      <c r="B9" s="27"/>
      <c r="C9" s="38"/>
      <c r="D9" s="92"/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390778.1</v>
      </c>
      <c r="D12" s="218">
        <v>438439.07</v>
      </c>
      <c r="E12" s="242">
        <f aca="true" t="shared" si="0" ref="E12:E19">D12-C12</f>
        <v>47660.97000000003</v>
      </c>
    </row>
    <row r="13" spans="1:5" ht="12.75">
      <c r="A13" s="84">
        <v>2</v>
      </c>
      <c r="B13" s="5" t="s">
        <v>637</v>
      </c>
      <c r="C13" s="10">
        <v>145563.57</v>
      </c>
      <c r="D13" s="98">
        <v>169752.21</v>
      </c>
      <c r="E13" s="57">
        <f t="shared" si="0"/>
        <v>24188.639999999985</v>
      </c>
    </row>
    <row r="14" spans="1:5" ht="12.75">
      <c r="A14" s="84">
        <v>3</v>
      </c>
      <c r="B14" s="5" t="s">
        <v>364</v>
      </c>
      <c r="C14" s="10">
        <v>40569.63</v>
      </c>
      <c r="D14" s="98">
        <v>38630.49</v>
      </c>
      <c r="E14" s="57">
        <f t="shared" si="0"/>
        <v>-1939.1399999999994</v>
      </c>
    </row>
    <row r="15" spans="1:5" ht="12.75">
      <c r="A15" s="84">
        <v>4</v>
      </c>
      <c r="B15" s="5" t="s">
        <v>633</v>
      </c>
      <c r="C15" s="10">
        <v>22498.01</v>
      </c>
      <c r="D15" s="98">
        <v>26580.24</v>
      </c>
      <c r="E15" s="57">
        <f t="shared" si="0"/>
        <v>4082.230000000003</v>
      </c>
    </row>
    <row r="16" spans="1:5" ht="12.75">
      <c r="A16" s="84">
        <v>5</v>
      </c>
      <c r="B16" s="5" t="s">
        <v>556</v>
      </c>
      <c r="C16" s="10">
        <v>23276.8</v>
      </c>
      <c r="D16" s="98">
        <v>25511.37</v>
      </c>
      <c r="E16" s="57">
        <f t="shared" si="0"/>
        <v>2234.5699999999997</v>
      </c>
    </row>
    <row r="17" spans="1:5" ht="12.75">
      <c r="A17" s="84">
        <v>6</v>
      </c>
      <c r="B17" s="5" t="s">
        <v>614</v>
      </c>
      <c r="C17" s="10">
        <v>2090.88</v>
      </c>
      <c r="D17" s="98">
        <v>2090.88</v>
      </c>
      <c r="E17" s="57">
        <f t="shared" si="0"/>
        <v>0</v>
      </c>
    </row>
    <row r="18" spans="1:5" ht="12.75">
      <c r="A18" s="84">
        <v>7</v>
      </c>
      <c r="B18" s="5" t="s">
        <v>1036</v>
      </c>
      <c r="C18" s="10">
        <v>7942.72</v>
      </c>
      <c r="D18" s="98">
        <v>7942.72</v>
      </c>
      <c r="E18" s="57">
        <f t="shared" si="0"/>
        <v>0</v>
      </c>
    </row>
    <row r="19" spans="1:5" ht="13.5" thickBot="1">
      <c r="A19" s="261">
        <v>8</v>
      </c>
      <c r="B19" s="95" t="s">
        <v>29</v>
      </c>
      <c r="C19" s="225">
        <v>3600</v>
      </c>
      <c r="D19" s="227">
        <v>3600</v>
      </c>
      <c r="E19" s="222">
        <f t="shared" si="0"/>
        <v>0</v>
      </c>
    </row>
    <row r="20" spans="1:5" ht="13.5" thickBot="1">
      <c r="A20" s="250"/>
      <c r="B20" s="251"/>
      <c r="C20" s="118">
        <f>SUM(C12:C19)</f>
        <v>636319.71</v>
      </c>
      <c r="D20" s="118">
        <f>SUM(D12:D19)</f>
        <v>712546.98</v>
      </c>
      <c r="E20" s="137">
        <f>SUM(E12:E19)</f>
        <v>76227.27000000002</v>
      </c>
    </row>
    <row r="21" spans="1:5" ht="12.75">
      <c r="A21" s="385" t="s">
        <v>793</v>
      </c>
      <c r="B21" s="386"/>
      <c r="C21" s="386"/>
      <c r="D21" s="386"/>
      <c r="E21" s="108">
        <f>E118</f>
        <v>196953.8100000001</v>
      </c>
    </row>
    <row r="22" spans="1:5" ht="12.75">
      <c r="A22" s="387" t="s">
        <v>794</v>
      </c>
      <c r="B22" s="384"/>
      <c r="C22" s="384"/>
      <c r="D22" s="384"/>
      <c r="E22" s="259">
        <v>575291.84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12.75">
      <c r="A25" s="86">
        <v>1</v>
      </c>
      <c r="B25" s="64" t="s">
        <v>789</v>
      </c>
      <c r="C25" s="80">
        <f>C63</f>
        <v>200743.74</v>
      </c>
      <c r="E25" s="29"/>
    </row>
    <row r="26" spans="1:5" ht="12.75">
      <c r="A26" s="91">
        <v>2</v>
      </c>
      <c r="B26" s="25" t="s">
        <v>344</v>
      </c>
      <c r="C26" s="102">
        <f>C69</f>
        <v>11331.64</v>
      </c>
      <c r="D26" s="388"/>
      <c r="E26" s="389"/>
    </row>
    <row r="27" spans="1:5" ht="12.75">
      <c r="A27" s="84">
        <v>3</v>
      </c>
      <c r="B27" s="9" t="s">
        <v>649</v>
      </c>
      <c r="C27" s="48">
        <f>6570.5+5823.5</f>
        <v>12394</v>
      </c>
      <c r="E27" s="29"/>
    </row>
    <row r="28" spans="1:5" ht="12.75">
      <c r="A28" s="84">
        <v>4</v>
      </c>
      <c r="B28" s="9" t="s">
        <v>122</v>
      </c>
      <c r="C28" s="48">
        <f>(C8*0.55*12)</f>
        <v>19466.04</v>
      </c>
      <c r="E28" s="29"/>
    </row>
    <row r="29" spans="1:5" ht="12.75">
      <c r="A29" s="84">
        <v>5</v>
      </c>
      <c r="B29" s="9" t="s">
        <v>658</v>
      </c>
      <c r="C29" s="79">
        <v>49222.68</v>
      </c>
      <c r="E29" s="29"/>
    </row>
    <row r="30" spans="1:5" ht="12.75">
      <c r="A30" s="91">
        <v>6</v>
      </c>
      <c r="B30" s="25" t="s">
        <v>61</v>
      </c>
      <c r="C30" s="203">
        <v>2400</v>
      </c>
      <c r="E30" s="29"/>
    </row>
    <row r="31" spans="1:5" ht="12.75">
      <c r="A31" s="84">
        <v>7</v>
      </c>
      <c r="B31" s="25" t="s">
        <v>1006</v>
      </c>
      <c r="C31" s="203">
        <v>23475.39</v>
      </c>
      <c r="E31" s="29"/>
    </row>
    <row r="32" spans="1:5" ht="38.25">
      <c r="A32" s="91">
        <v>8</v>
      </c>
      <c r="B32" s="25" t="s">
        <v>616</v>
      </c>
      <c r="C32" s="349">
        <v>7781.14</v>
      </c>
      <c r="E32" s="29"/>
    </row>
    <row r="33" spans="1:5" ht="12.75">
      <c r="A33" s="84">
        <v>9</v>
      </c>
      <c r="B33" s="346" t="s">
        <v>26</v>
      </c>
      <c r="C33" s="96">
        <v>600</v>
      </c>
      <c r="E33" s="29"/>
    </row>
    <row r="34" spans="1:5" ht="12.75">
      <c r="A34" s="84">
        <v>10</v>
      </c>
      <c r="B34" s="346" t="s">
        <v>617</v>
      </c>
      <c r="C34" s="96">
        <v>9234.72</v>
      </c>
      <c r="E34" s="29"/>
    </row>
    <row r="35" spans="1:5" ht="25.5">
      <c r="A35" s="91">
        <v>11</v>
      </c>
      <c r="B35" s="25" t="s">
        <v>60</v>
      </c>
      <c r="C35" s="96">
        <v>-2300</v>
      </c>
      <c r="E35" s="29"/>
    </row>
    <row r="36" spans="1:3" ht="12.75">
      <c r="A36" s="50"/>
      <c r="B36" s="20" t="s">
        <v>629</v>
      </c>
      <c r="C36" s="51">
        <f>SUM(C25:C35)</f>
        <v>334349.35000000003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(C20)*15%</f>
        <v>95447.95649999999</v>
      </c>
    </row>
    <row r="39" spans="1:3" ht="12.75">
      <c r="A39" s="84">
        <v>2</v>
      </c>
      <c r="B39" s="9" t="s">
        <v>813</v>
      </c>
      <c r="C39" s="48">
        <f>C75</f>
        <v>6387.975109535064</v>
      </c>
    </row>
    <row r="40" spans="1:3" ht="12.75">
      <c r="A40" s="84">
        <v>3</v>
      </c>
      <c r="B40" s="9" t="s">
        <v>653</v>
      </c>
      <c r="C40" s="48">
        <f>C76</f>
        <v>6938.287499786198</v>
      </c>
    </row>
    <row r="41" spans="1:3" ht="12.75">
      <c r="A41" s="84">
        <v>4</v>
      </c>
      <c r="B41" s="9" t="s">
        <v>1114</v>
      </c>
      <c r="C41" s="52">
        <f>C77</f>
        <v>14085.001033733333</v>
      </c>
    </row>
    <row r="42" spans="1:3" ht="12.75">
      <c r="A42" s="84">
        <v>5</v>
      </c>
      <c r="B42" s="9" t="s">
        <v>162</v>
      </c>
      <c r="C42" s="52">
        <f>C78</f>
        <v>10291.723362754923</v>
      </c>
    </row>
    <row r="43" spans="1:3" ht="12.75">
      <c r="A43" s="84">
        <v>6</v>
      </c>
      <c r="B43" s="9" t="s">
        <v>1051</v>
      </c>
      <c r="C43" s="48">
        <f>C79+C81+C82+C83+C80</f>
        <v>17465.011037513006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150615.9545433225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C20*2%</f>
        <v>12726.394199999999</v>
      </c>
    </row>
    <row r="51" spans="1:3" ht="12.75">
      <c r="A51" s="84">
        <v>2</v>
      </c>
      <c r="B51" s="9" t="s">
        <v>391</v>
      </c>
      <c r="C51" s="48">
        <f>C52</f>
        <v>37415.598948</v>
      </c>
    </row>
    <row r="52" spans="1:4" ht="12.75">
      <c r="A52" s="49"/>
      <c r="B52" s="5" t="s">
        <v>334</v>
      </c>
      <c r="C52" s="41">
        <f>(C20-C50)*6%</f>
        <v>37415.598948</v>
      </c>
      <c r="D52" s="19"/>
    </row>
    <row r="53" spans="1:3" ht="13.5" thickBot="1">
      <c r="A53" s="54"/>
      <c r="B53" s="55" t="s">
        <v>967</v>
      </c>
      <c r="C53" s="56">
        <f>C50+C51</f>
        <v>50141.993147999994</v>
      </c>
    </row>
    <row r="54" spans="1:3" ht="12.75">
      <c r="A54" s="23"/>
      <c r="B54" s="4" t="s">
        <v>288</v>
      </c>
      <c r="C54" s="11">
        <f>C36+C48+C53</f>
        <v>535107.2976913225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1">
        <v>275683.29</v>
      </c>
    </row>
    <row r="57" spans="1:3" ht="15">
      <c r="A57" s="23"/>
      <c r="B57" s="14" t="s">
        <v>180</v>
      </c>
      <c r="C57" s="11">
        <f>C54+C56-C20</f>
        <v>174470.87769132247</v>
      </c>
    </row>
    <row r="58" ht="12.75">
      <c r="B58" s="1" t="s">
        <v>85</v>
      </c>
    </row>
    <row r="59" ht="16.5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9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</f>
        <v>2949.4</v>
      </c>
      <c r="E62" t="s">
        <v>116</v>
      </c>
    </row>
    <row r="63" spans="1:5" ht="12.75">
      <c r="A63" s="60" t="s">
        <v>218</v>
      </c>
      <c r="B63" s="39" t="s">
        <v>797</v>
      </c>
      <c r="C63" s="47">
        <v>200743.74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18402.6</v>
      </c>
      <c r="D65" s="15"/>
      <c r="E65" s="15"/>
    </row>
    <row r="66" spans="1:5" ht="12.75">
      <c r="A66" s="62" t="s">
        <v>166</v>
      </c>
      <c r="B66" s="6" t="s">
        <v>615</v>
      </c>
      <c r="C66" s="41">
        <v>6800</v>
      </c>
      <c r="D66" s="15"/>
      <c r="E66" s="15"/>
    </row>
    <row r="67" spans="1:5" ht="12.75">
      <c r="A67" s="62" t="s">
        <v>166</v>
      </c>
      <c r="B67" s="6" t="s">
        <v>618</v>
      </c>
      <c r="C67" s="41">
        <v>9382.58</v>
      </c>
      <c r="D67" s="15"/>
      <c r="E67" s="15"/>
    </row>
    <row r="68" spans="1:5" ht="13.5" thickBot="1">
      <c r="A68" s="63" t="s">
        <v>166</v>
      </c>
      <c r="B68" s="42" t="s">
        <v>818</v>
      </c>
      <c r="C68" s="43">
        <v>4367.69</v>
      </c>
      <c r="D68" s="15"/>
      <c r="E68" s="15"/>
    </row>
    <row r="69" spans="1:5" ht="12.75">
      <c r="A69" s="60" t="s">
        <v>328</v>
      </c>
      <c r="B69" s="39" t="s">
        <v>343</v>
      </c>
      <c r="C69" s="47">
        <v>11331.64</v>
      </c>
      <c r="D69" s="15"/>
      <c r="E69" s="12"/>
    </row>
    <row r="70" spans="1:5" ht="12.75">
      <c r="A70" s="61"/>
      <c r="B70" s="6" t="s">
        <v>118</v>
      </c>
      <c r="C70" s="41"/>
      <c r="D70" s="15"/>
      <c r="E70" s="12"/>
    </row>
    <row r="71" spans="1:5" ht="12.75">
      <c r="A71" s="62" t="s">
        <v>166</v>
      </c>
      <c r="B71" s="6" t="s">
        <v>380</v>
      </c>
      <c r="C71" s="41">
        <v>551</v>
      </c>
      <c r="D71" s="15"/>
      <c r="E71" s="12"/>
    </row>
    <row r="72" spans="1:5" ht="13.5" thickBot="1">
      <c r="A72" s="63" t="s">
        <v>166</v>
      </c>
      <c r="B72" s="42" t="s">
        <v>818</v>
      </c>
      <c r="C72" s="43">
        <v>168.65</v>
      </c>
      <c r="D72" s="15"/>
      <c r="E72" s="15"/>
    </row>
    <row r="73" spans="1:5" ht="12.75">
      <c r="A73" s="300" t="s">
        <v>787</v>
      </c>
      <c r="B73" s="97" t="s">
        <v>1050</v>
      </c>
      <c r="C73" s="82">
        <f>C74+C75+C77+C76+C78+C79+C81+C82+C83+C80</f>
        <v>150615.9545433225</v>
      </c>
      <c r="D73" s="15"/>
      <c r="E73" s="12"/>
    </row>
    <row r="74" spans="1:5" ht="13.5" thickBot="1">
      <c r="A74" s="40" t="s">
        <v>166</v>
      </c>
      <c r="B74" s="6" t="s">
        <v>227</v>
      </c>
      <c r="C74" s="41">
        <f>C38</f>
        <v>95447.95649999999</v>
      </c>
      <c r="D74" s="15"/>
      <c r="E74" s="12"/>
    </row>
    <row r="75" spans="1:5" ht="12.75">
      <c r="A75" s="40" t="s">
        <v>166</v>
      </c>
      <c r="B75" s="6" t="s">
        <v>370</v>
      </c>
      <c r="C75" s="317">
        <f>401410.25/185335.63*C8</f>
        <v>6387.975109535064</v>
      </c>
      <c r="D75" s="375" t="s">
        <v>605</v>
      </c>
      <c r="E75" s="376"/>
    </row>
    <row r="76" spans="1:5" ht="12.75">
      <c r="A76" s="73" t="s">
        <v>166</v>
      </c>
      <c r="B76" s="74" t="s">
        <v>397</v>
      </c>
      <c r="C76" s="317">
        <f>435991.01/185335.63*C8</f>
        <v>6938.287499786198</v>
      </c>
      <c r="D76" s="377" t="s">
        <v>606</v>
      </c>
      <c r="E76" s="378"/>
    </row>
    <row r="77" spans="1:5" ht="12.75">
      <c r="A77" s="71" t="s">
        <v>166</v>
      </c>
      <c r="B77" s="72" t="s">
        <v>416</v>
      </c>
      <c r="C77" s="317">
        <f>1082167/226605.83*C8</f>
        <v>14085.001033733333</v>
      </c>
      <c r="D77" s="379" t="s">
        <v>607</v>
      </c>
      <c r="E77" s="380"/>
    </row>
    <row r="78" spans="1:5" ht="25.5">
      <c r="A78" s="73" t="s">
        <v>166</v>
      </c>
      <c r="B78" s="72" t="s">
        <v>231</v>
      </c>
      <c r="C78" s="318">
        <f>845684.35/242356.05*D62</f>
        <v>10291.723362754923</v>
      </c>
      <c r="D78" s="381" t="s">
        <v>608</v>
      </c>
      <c r="E78" s="382"/>
    </row>
    <row r="79" spans="1:5" ht="12.75">
      <c r="A79" s="73" t="s">
        <v>166</v>
      </c>
      <c r="B79" s="74" t="s">
        <v>808</v>
      </c>
      <c r="C79" s="318">
        <f>642562.44/242356.05*D62</f>
        <v>7819.79100804787</v>
      </c>
      <c r="D79" s="371" t="s">
        <v>609</v>
      </c>
      <c r="E79" s="372"/>
    </row>
    <row r="80" spans="1:5" ht="12.75">
      <c r="A80" s="73" t="s">
        <v>166</v>
      </c>
      <c r="B80" s="74" t="s">
        <v>826</v>
      </c>
      <c r="C80" s="318">
        <f>51615/196822.43*D62</f>
        <v>773.4549410857289</v>
      </c>
      <c r="D80" s="371" t="s">
        <v>610</v>
      </c>
      <c r="E80" s="372"/>
    </row>
    <row r="81" spans="1:5" ht="12.75">
      <c r="A81" s="73" t="s">
        <v>166</v>
      </c>
      <c r="B81" s="74" t="s">
        <v>655</v>
      </c>
      <c r="C81" s="318">
        <f>129011.28/196822.43*D62</f>
        <v>1933.2444438979846</v>
      </c>
      <c r="D81" s="371" t="s">
        <v>611</v>
      </c>
      <c r="E81" s="372"/>
    </row>
    <row r="82" spans="1:5" ht="12.75">
      <c r="A82" s="73" t="s">
        <v>166</v>
      </c>
      <c r="B82" s="74" t="s">
        <v>656</v>
      </c>
      <c r="C82" s="318">
        <f>164128/196822.43*D62</f>
        <v>2459.471327531115</v>
      </c>
      <c r="D82" s="373" t="s">
        <v>612</v>
      </c>
      <c r="E82" s="374"/>
    </row>
    <row r="83" spans="1:5" ht="13.5" thickBot="1">
      <c r="A83" s="75" t="s">
        <v>166</v>
      </c>
      <c r="B83" s="76" t="s">
        <v>809</v>
      </c>
      <c r="C83" s="319">
        <f>298900.58/196822.43*D62</f>
        <v>4479.049316950309</v>
      </c>
      <c r="D83" s="369" t="s">
        <v>613</v>
      </c>
      <c r="E83" s="370"/>
    </row>
    <row r="84" ht="13.5" thickBot="1"/>
    <row r="85" spans="2:5" ht="24.75" thickBot="1">
      <c r="B85" s="143"/>
      <c r="C85" s="205" t="s">
        <v>104</v>
      </c>
      <c r="D85" s="236" t="s">
        <v>306</v>
      </c>
      <c r="E85" s="130" t="s">
        <v>305</v>
      </c>
    </row>
    <row r="86" spans="2:5" ht="13.5" thickBot="1">
      <c r="B86" s="363" t="s">
        <v>937</v>
      </c>
      <c r="C86" s="364"/>
      <c r="D86" s="364"/>
      <c r="E86" s="365"/>
    </row>
    <row r="87" spans="2:5" ht="12.75">
      <c r="B87" s="140" t="s">
        <v>285</v>
      </c>
      <c r="C87" s="234">
        <v>215527.71</v>
      </c>
      <c r="D87" s="218">
        <v>240621.29</v>
      </c>
      <c r="E87" s="44">
        <f>D87-C87</f>
        <v>25093.580000000016</v>
      </c>
    </row>
    <row r="88" spans="2:5" ht="13.5" thickBot="1">
      <c r="B88" s="116" t="s">
        <v>637</v>
      </c>
      <c r="C88" s="67">
        <v>116868.22</v>
      </c>
      <c r="D88" s="101">
        <v>128439.39</v>
      </c>
      <c r="E88" s="131">
        <f>D88-C88</f>
        <v>11571.169999999998</v>
      </c>
    </row>
    <row r="89" spans="2:5" ht="13.5" thickBot="1">
      <c r="B89" s="120"/>
      <c r="C89" s="257">
        <f>SUM(C87:C88)</f>
        <v>332395.93</v>
      </c>
      <c r="D89" s="257">
        <f>SUM(D87:D88)</f>
        <v>369060.68</v>
      </c>
      <c r="E89" s="210">
        <f>SUM(E87:E88)</f>
        <v>36664.750000000015</v>
      </c>
    </row>
    <row r="90" spans="2:5" ht="13.5" thickBot="1">
      <c r="B90" s="363" t="s">
        <v>938</v>
      </c>
      <c r="C90" s="364"/>
      <c r="D90" s="364"/>
      <c r="E90" s="365"/>
    </row>
    <row r="91" spans="2:5" ht="12.75">
      <c r="B91" s="140" t="s">
        <v>285</v>
      </c>
      <c r="C91" s="234">
        <v>283429.24</v>
      </c>
      <c r="D91" s="218">
        <v>307477.14</v>
      </c>
      <c r="E91" s="253">
        <f>D91-C91</f>
        <v>24047.900000000023</v>
      </c>
    </row>
    <row r="92" spans="2:5" ht="13.5" thickBot="1">
      <c r="B92" s="116" t="s">
        <v>637</v>
      </c>
      <c r="C92" s="67">
        <v>137468.56</v>
      </c>
      <c r="D92" s="101">
        <v>149497.51</v>
      </c>
      <c r="E92" s="204">
        <f>D92-C92</f>
        <v>12028.950000000012</v>
      </c>
    </row>
    <row r="93" spans="2:5" ht="13.5" thickBot="1">
      <c r="B93" s="153"/>
      <c r="C93" s="152">
        <f>SUM(C91:C92)</f>
        <v>420897.8</v>
      </c>
      <c r="D93" s="138">
        <f>SUM(D91:D92)</f>
        <v>456974.65</v>
      </c>
      <c r="E93" s="206">
        <f>SUM(E91:E92)</f>
        <v>36076.850000000035</v>
      </c>
    </row>
    <row r="94" spans="2:5" ht="13.5" thickBot="1">
      <c r="B94" s="418" t="s">
        <v>639</v>
      </c>
      <c r="C94" s="419"/>
      <c r="D94" s="419"/>
      <c r="E94" s="420"/>
    </row>
    <row r="95" spans="2:5" ht="12.75">
      <c r="B95" s="140" t="s">
        <v>285</v>
      </c>
      <c r="C95" s="234">
        <v>306784.02</v>
      </c>
      <c r="D95" s="218">
        <v>318643.44</v>
      </c>
      <c r="E95" s="253">
        <f>D95-C95</f>
        <v>11859.419999999984</v>
      </c>
    </row>
    <row r="96" spans="2:5" ht="12.75">
      <c r="B96" s="115" t="s">
        <v>637</v>
      </c>
      <c r="C96" s="10">
        <v>149210.8</v>
      </c>
      <c r="D96" s="99">
        <v>149467.47</v>
      </c>
      <c r="E96" s="53">
        <f>D96-C96</f>
        <v>256.6700000000128</v>
      </c>
    </row>
    <row r="97" spans="2:5" ht="12.75">
      <c r="B97" s="115" t="s">
        <v>408</v>
      </c>
      <c r="C97" s="10">
        <v>2667.3</v>
      </c>
      <c r="D97" s="99">
        <v>5783.55</v>
      </c>
      <c r="E97" s="53">
        <f>D97-C97</f>
        <v>3116.25</v>
      </c>
    </row>
    <row r="98" spans="2:5" ht="13.5" thickBot="1">
      <c r="B98" s="157" t="s">
        <v>1200</v>
      </c>
      <c r="C98" s="142">
        <v>5732.73</v>
      </c>
      <c r="D98" s="142">
        <v>5732.73</v>
      </c>
      <c r="E98" s="85">
        <v>0</v>
      </c>
    </row>
    <row r="99" spans="2:5" ht="13.5" thickBot="1">
      <c r="B99" s="187"/>
      <c r="C99" s="254">
        <f>SUM(C95:C98)</f>
        <v>464394.85</v>
      </c>
      <c r="D99" s="255">
        <f>SUM(D95:D98)</f>
        <v>479627.19</v>
      </c>
      <c r="E99" s="256">
        <f>SUM(E95:E98)</f>
        <v>15232.339999999997</v>
      </c>
    </row>
    <row r="100" spans="2:5" ht="13.5" thickBot="1">
      <c r="B100" s="418" t="s">
        <v>1113</v>
      </c>
      <c r="C100" s="419"/>
      <c r="D100" s="419"/>
      <c r="E100" s="420"/>
    </row>
    <row r="101" spans="2:5" ht="12.75">
      <c r="B101" s="140" t="s">
        <v>285</v>
      </c>
      <c r="C101" s="234">
        <v>391070.92</v>
      </c>
      <c r="D101" s="218">
        <v>406350.96</v>
      </c>
      <c r="E101" s="253">
        <f>D101-C101</f>
        <v>15280.040000000037</v>
      </c>
    </row>
    <row r="102" spans="2:5" ht="12.75">
      <c r="B102" s="115" t="s">
        <v>637</v>
      </c>
      <c r="C102" s="10">
        <v>133688.76</v>
      </c>
      <c r="D102" s="99">
        <v>137399.6</v>
      </c>
      <c r="E102" s="53">
        <f>D102-C102</f>
        <v>3710.8399999999965</v>
      </c>
    </row>
    <row r="103" spans="2:5" ht="12.75">
      <c r="B103" s="115" t="s">
        <v>408</v>
      </c>
      <c r="C103" s="10">
        <v>22242.19</v>
      </c>
      <c r="D103" s="99">
        <v>23009.25</v>
      </c>
      <c r="E103" s="53">
        <f>D103-C103</f>
        <v>767.0600000000013</v>
      </c>
    </row>
    <row r="104" spans="2:5" ht="12.75">
      <c r="B104" s="116" t="s">
        <v>364</v>
      </c>
      <c r="C104" s="258">
        <v>57048.78</v>
      </c>
      <c r="D104" s="258">
        <v>69743.44</v>
      </c>
      <c r="E104" s="53">
        <f>D104-C104</f>
        <v>12694.660000000003</v>
      </c>
    </row>
    <row r="105" spans="2:5" ht="13.5" thickBot="1">
      <c r="B105" s="156" t="s">
        <v>792</v>
      </c>
      <c r="C105" s="142">
        <v>300</v>
      </c>
      <c r="D105" s="142">
        <v>600</v>
      </c>
      <c r="E105" s="53">
        <f>D105-C105</f>
        <v>300</v>
      </c>
    </row>
    <row r="106" spans="2:5" ht="13.5" thickBot="1">
      <c r="B106" s="187"/>
      <c r="C106" s="254">
        <f>SUM(C101:C105)</f>
        <v>604350.6499999999</v>
      </c>
      <c r="D106" s="255">
        <f>SUM(D101:D105)</f>
        <v>637103.25</v>
      </c>
      <c r="E106" s="256">
        <f>SUM(E101:E105)</f>
        <v>32752.60000000004</v>
      </c>
    </row>
    <row r="107" spans="2:5" ht="13.5" thickBot="1">
      <c r="B107" s="363" t="s">
        <v>87</v>
      </c>
      <c r="C107" s="364"/>
      <c r="D107" s="364"/>
      <c r="E107" s="365"/>
    </row>
    <row r="108" spans="2:5" ht="12.75">
      <c r="B108" s="140" t="s">
        <v>285</v>
      </c>
      <c r="C108" s="234">
        <v>390778.1</v>
      </c>
      <c r="D108" s="218">
        <v>438439.07</v>
      </c>
      <c r="E108" s="253">
        <f aca="true" t="shared" si="1" ref="E108:E115">D108-C108</f>
        <v>47660.97000000003</v>
      </c>
    </row>
    <row r="109" spans="2:5" ht="12.75">
      <c r="B109" s="115" t="s">
        <v>637</v>
      </c>
      <c r="C109" s="10">
        <v>145563.57</v>
      </c>
      <c r="D109" s="98">
        <v>169752.21</v>
      </c>
      <c r="E109" s="53">
        <f t="shared" si="1"/>
        <v>24188.639999999985</v>
      </c>
    </row>
    <row r="110" spans="2:5" ht="12.75">
      <c r="B110" s="115" t="s">
        <v>364</v>
      </c>
      <c r="C110" s="10">
        <v>40569.63</v>
      </c>
      <c r="D110" s="98">
        <v>38630.49</v>
      </c>
      <c r="E110" s="81">
        <f t="shared" si="1"/>
        <v>-1939.1399999999994</v>
      </c>
    </row>
    <row r="111" spans="2:5" ht="12.75">
      <c r="B111" s="115" t="s">
        <v>633</v>
      </c>
      <c r="C111" s="10">
        <v>22498.01</v>
      </c>
      <c r="D111" s="98">
        <v>26580.24</v>
      </c>
      <c r="E111" s="81">
        <f t="shared" si="1"/>
        <v>4082.230000000003</v>
      </c>
    </row>
    <row r="112" spans="2:5" ht="12.75">
      <c r="B112" s="115" t="s">
        <v>556</v>
      </c>
      <c r="C112" s="10">
        <v>23276.8</v>
      </c>
      <c r="D112" s="98">
        <v>25511.37</v>
      </c>
      <c r="E112" s="81">
        <f t="shared" si="1"/>
        <v>2234.5699999999997</v>
      </c>
    </row>
    <row r="113" spans="2:5" ht="12.75">
      <c r="B113" s="115" t="s">
        <v>614</v>
      </c>
      <c r="C113" s="10">
        <v>2090.88</v>
      </c>
      <c r="D113" s="98">
        <v>2090.88</v>
      </c>
      <c r="E113" s="81">
        <f t="shared" si="1"/>
        <v>0</v>
      </c>
    </row>
    <row r="114" spans="2:5" ht="12.75">
      <c r="B114" s="115" t="s">
        <v>1036</v>
      </c>
      <c r="C114" s="10">
        <v>7942.72</v>
      </c>
      <c r="D114" s="98">
        <v>7942.72</v>
      </c>
      <c r="E114" s="81">
        <f t="shared" si="1"/>
        <v>0</v>
      </c>
    </row>
    <row r="115" spans="2:5" ht="13.5" thickBot="1">
      <c r="B115" s="157" t="s">
        <v>29</v>
      </c>
      <c r="C115" s="225">
        <v>3600</v>
      </c>
      <c r="D115" s="227">
        <v>3600</v>
      </c>
      <c r="E115" s="85">
        <f t="shared" si="1"/>
        <v>0</v>
      </c>
    </row>
    <row r="116" spans="2:5" ht="13.5" thickBot="1">
      <c r="B116" s="324"/>
      <c r="C116" s="119">
        <f>SUM(C108:C115)</f>
        <v>636319.71</v>
      </c>
      <c r="D116" s="119">
        <f>SUM(D108:D115)</f>
        <v>712546.98</v>
      </c>
      <c r="E116" s="119">
        <f>SUM(E108:E115)</f>
        <v>76227.27000000002</v>
      </c>
    </row>
    <row r="117" spans="2:5" ht="13.5" thickBot="1">
      <c r="B117" s="366" t="s">
        <v>379</v>
      </c>
      <c r="C117" s="367"/>
      <c r="D117" s="367"/>
      <c r="E117" s="368"/>
    </row>
    <row r="118" spans="2:5" ht="13.5" thickBot="1">
      <c r="B118" s="153"/>
      <c r="C118" s="117">
        <f>C99+C93+C89+C106+C116</f>
        <v>2458358.9399999995</v>
      </c>
      <c r="D118" s="117">
        <f>D99+D93+D89+D106+D116</f>
        <v>2655312.75</v>
      </c>
      <c r="E118" s="117">
        <f>E99+E93+E89+E106+E116</f>
        <v>196953.8100000001</v>
      </c>
    </row>
  </sheetData>
  <sheetProtection/>
  <mergeCells count="23">
    <mergeCell ref="B94:E94"/>
    <mergeCell ref="D79:E79"/>
    <mergeCell ref="D80:E80"/>
    <mergeCell ref="D81:E81"/>
    <mergeCell ref="D82:E82"/>
    <mergeCell ref="B100:E100"/>
    <mergeCell ref="B117:E117"/>
    <mergeCell ref="B107:E107"/>
    <mergeCell ref="D83:E83"/>
    <mergeCell ref="B86:E86"/>
    <mergeCell ref="B90:E90"/>
    <mergeCell ref="A22:D22"/>
    <mergeCell ref="D26:E26"/>
    <mergeCell ref="D75:E75"/>
    <mergeCell ref="D76:E76"/>
    <mergeCell ref="D77:E77"/>
    <mergeCell ref="D78:E78"/>
    <mergeCell ref="A2:B2"/>
    <mergeCell ref="C2:E2"/>
    <mergeCell ref="C3:E3"/>
    <mergeCell ref="B4:E4"/>
    <mergeCell ref="A6:E6"/>
    <mergeCell ref="A21:D2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5.75390625" style="0" customWidth="1"/>
    <col min="3" max="3" width="10.75390625" style="0" customWidth="1"/>
    <col min="4" max="4" width="12.125" style="0" customWidth="1"/>
    <col min="5" max="5" width="14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411</v>
      </c>
      <c r="C7" s="26"/>
      <c r="D7" s="24"/>
    </row>
    <row r="8" spans="1:4" ht="15">
      <c r="A8" s="26"/>
      <c r="B8" s="27" t="s">
        <v>115</v>
      </c>
      <c r="C8" s="350">
        <v>4287.43</v>
      </c>
      <c r="D8" s="92" t="s">
        <v>116</v>
      </c>
    </row>
    <row r="9" spans="1:4" ht="15">
      <c r="A9" s="26"/>
      <c r="B9" s="27" t="s">
        <v>654</v>
      </c>
      <c r="C9" s="93">
        <v>66.6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635523.07</v>
      </c>
      <c r="D12" s="155">
        <v>648540.52</v>
      </c>
      <c r="E12" s="242">
        <f aca="true" t="shared" si="0" ref="E12:E18">D12-C12</f>
        <v>13017.45000000007</v>
      </c>
    </row>
    <row r="13" spans="1:5" ht="12.75">
      <c r="A13" s="84">
        <v>2</v>
      </c>
      <c r="B13" s="5" t="s">
        <v>637</v>
      </c>
      <c r="C13" s="5">
        <v>215594.95</v>
      </c>
      <c r="D13" s="34">
        <v>220720.23</v>
      </c>
      <c r="E13" s="57">
        <f t="shared" si="0"/>
        <v>5125.279999999999</v>
      </c>
    </row>
    <row r="14" spans="1:5" ht="12.75">
      <c r="A14" s="87">
        <v>3</v>
      </c>
      <c r="B14" s="65" t="s">
        <v>364</v>
      </c>
      <c r="C14" s="65">
        <v>57285.87</v>
      </c>
      <c r="D14" s="70">
        <v>56006.92</v>
      </c>
      <c r="E14" s="57">
        <f t="shared" si="0"/>
        <v>-1278.9500000000044</v>
      </c>
    </row>
    <row r="15" spans="1:5" ht="12.75">
      <c r="A15" s="84">
        <v>4</v>
      </c>
      <c r="B15" s="65" t="s">
        <v>29</v>
      </c>
      <c r="C15" s="94">
        <f>2400+3600+7200+9090.27</f>
        <v>22290.27</v>
      </c>
      <c r="D15" s="83">
        <f>2400+3300+7200+10320.36</f>
        <v>23220.36</v>
      </c>
      <c r="E15" s="57">
        <f t="shared" si="0"/>
        <v>930.0900000000001</v>
      </c>
    </row>
    <row r="16" spans="1:5" ht="12.75">
      <c r="A16" s="84">
        <v>5</v>
      </c>
      <c r="B16" s="5" t="s">
        <v>232</v>
      </c>
      <c r="C16" s="125">
        <v>15088.86</v>
      </c>
      <c r="D16" s="125">
        <v>15088.86</v>
      </c>
      <c r="E16" s="128">
        <f t="shared" si="0"/>
        <v>0</v>
      </c>
    </row>
    <row r="17" spans="1:5" ht="12.75">
      <c r="A17" s="84">
        <v>6</v>
      </c>
      <c r="B17" s="5" t="s">
        <v>372</v>
      </c>
      <c r="C17" s="122">
        <v>1000</v>
      </c>
      <c r="D17" s="122">
        <v>1000</v>
      </c>
      <c r="E17" s="123">
        <f t="shared" si="0"/>
        <v>0</v>
      </c>
    </row>
    <row r="18" spans="1:5" ht="13.5" thickBot="1">
      <c r="A18" s="84">
        <v>7</v>
      </c>
      <c r="B18" s="105" t="s">
        <v>393</v>
      </c>
      <c r="C18" s="122">
        <v>10694.28</v>
      </c>
      <c r="D18" s="122">
        <v>10560</v>
      </c>
      <c r="E18" s="66">
        <f t="shared" si="0"/>
        <v>-134.28000000000065</v>
      </c>
    </row>
    <row r="19" spans="1:5" ht="13.5" thickBot="1">
      <c r="A19" s="208"/>
      <c r="B19" s="209"/>
      <c r="C19" s="135">
        <f>SUM(C12:C18)</f>
        <v>957477.3</v>
      </c>
      <c r="D19" s="135">
        <f>SUM(D12:D18)</f>
        <v>975136.89</v>
      </c>
      <c r="E19" s="136">
        <f>SUM(E12:E18)</f>
        <v>17659.590000000062</v>
      </c>
    </row>
    <row r="20" spans="1:5" ht="12.75">
      <c r="A20" s="385" t="s">
        <v>793</v>
      </c>
      <c r="B20" s="386"/>
      <c r="C20" s="386"/>
      <c r="D20" s="386"/>
      <c r="E20" s="108">
        <f>E132</f>
        <v>207844.35999999984</v>
      </c>
    </row>
    <row r="21" spans="1:5" ht="12.75">
      <c r="A21" s="387" t="s">
        <v>794</v>
      </c>
      <c r="B21" s="384"/>
      <c r="C21" s="384"/>
      <c r="D21" s="384"/>
      <c r="E21" s="22">
        <v>254656.49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417</v>
      </c>
      <c r="C24" s="80">
        <f>C64</f>
        <v>372949.29</v>
      </c>
      <c r="E24" s="29"/>
    </row>
    <row r="25" spans="1:5" ht="12.75">
      <c r="A25" s="91">
        <v>2</v>
      </c>
      <c r="B25" s="25" t="s">
        <v>344</v>
      </c>
      <c r="C25" s="102">
        <f>C74</f>
        <v>25673.68</v>
      </c>
      <c r="D25" s="388"/>
      <c r="E25" s="389"/>
    </row>
    <row r="26" spans="1:5" ht="12.75">
      <c r="A26" s="84">
        <v>3</v>
      </c>
      <c r="B26" s="9" t="s">
        <v>649</v>
      </c>
      <c r="C26" s="48">
        <v>6743.82</v>
      </c>
      <c r="E26" s="29"/>
    </row>
    <row r="27" spans="1:5" ht="12.75">
      <c r="A27" s="84">
        <v>4</v>
      </c>
      <c r="B27" s="9" t="s">
        <v>122</v>
      </c>
      <c r="C27" s="48">
        <f>(C8*0.55*12)</f>
        <v>28297.038000000004</v>
      </c>
      <c r="E27" s="29"/>
    </row>
    <row r="28" spans="1:5" ht="12.75">
      <c r="A28" s="84">
        <v>5</v>
      </c>
      <c r="B28" s="9" t="s">
        <v>658</v>
      </c>
      <c r="C28" s="79">
        <v>37890.84</v>
      </c>
      <c r="E28" s="29"/>
    </row>
    <row r="29" spans="1:5" ht="12.75">
      <c r="A29" s="91">
        <v>6</v>
      </c>
      <c r="B29" s="25" t="s">
        <v>43</v>
      </c>
      <c r="C29" s="96">
        <v>147442.58</v>
      </c>
      <c r="E29" s="29"/>
    </row>
    <row r="30" spans="1:5" ht="25.5">
      <c r="A30" s="91">
        <v>7</v>
      </c>
      <c r="B30" s="25" t="s">
        <v>79</v>
      </c>
      <c r="C30" s="96">
        <v>19200</v>
      </c>
      <c r="E30" s="29"/>
    </row>
    <row r="31" spans="1:5" ht="12.75">
      <c r="A31" s="91">
        <v>8</v>
      </c>
      <c r="B31" s="346" t="s">
        <v>26</v>
      </c>
      <c r="C31" s="96">
        <v>600</v>
      </c>
      <c r="E31" s="29"/>
    </row>
    <row r="32" spans="1:5" ht="25.5">
      <c r="A32" s="91">
        <v>9</v>
      </c>
      <c r="B32" s="25" t="s">
        <v>40</v>
      </c>
      <c r="C32" s="96">
        <v>3000</v>
      </c>
      <c r="E32" s="29"/>
    </row>
    <row r="33" spans="1:5" ht="25.5">
      <c r="A33" s="91">
        <v>10</v>
      </c>
      <c r="B33" s="25" t="s">
        <v>45</v>
      </c>
      <c r="C33" s="96">
        <v>9000</v>
      </c>
      <c r="E33" s="29"/>
    </row>
    <row r="34" spans="1:5" ht="12.75" customHeight="1">
      <c r="A34" s="91">
        <v>11</v>
      </c>
      <c r="B34" s="25" t="s">
        <v>46</v>
      </c>
      <c r="C34" s="96">
        <v>43248.28</v>
      </c>
      <c r="E34" s="29"/>
    </row>
    <row r="35" spans="1:5" ht="12.75">
      <c r="A35" s="91">
        <v>12</v>
      </c>
      <c r="B35" s="25" t="s">
        <v>376</v>
      </c>
      <c r="C35" s="96">
        <v>944.94</v>
      </c>
      <c r="E35" s="29"/>
    </row>
    <row r="36" spans="1:5" ht="12.75">
      <c r="A36" s="91">
        <v>13</v>
      </c>
      <c r="B36" s="25" t="s">
        <v>65</v>
      </c>
      <c r="C36" s="96">
        <v>23000</v>
      </c>
      <c r="E36" s="29"/>
    </row>
    <row r="37" spans="1:3" ht="12.75">
      <c r="A37" s="50"/>
      <c r="B37" s="20" t="s">
        <v>629</v>
      </c>
      <c r="C37" s="51">
        <f>SUM(C24:C36)</f>
        <v>717990.4679999999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(C19)*15%</f>
        <v>143621.595</v>
      </c>
    </row>
    <row r="40" spans="1:3" ht="12.75">
      <c r="A40" s="84">
        <v>2</v>
      </c>
      <c r="B40" s="9" t="s">
        <v>813</v>
      </c>
      <c r="C40" s="48">
        <f>C81</f>
        <v>9285.9551515135</v>
      </c>
    </row>
    <row r="41" spans="1:3" ht="12.75">
      <c r="A41" s="84">
        <v>3</v>
      </c>
      <c r="B41" s="9" t="s">
        <v>653</v>
      </c>
      <c r="C41" s="48">
        <f>C82</f>
        <v>10085.923230219143</v>
      </c>
    </row>
    <row r="42" spans="1:3" ht="12.75">
      <c r="A42" s="84">
        <v>4</v>
      </c>
      <c r="B42" s="9" t="s">
        <v>1114</v>
      </c>
      <c r="C42" s="52">
        <f>C83</f>
        <v>20474.82741644379</v>
      </c>
    </row>
    <row r="43" spans="1:3" ht="12.75">
      <c r="A43" s="84">
        <v>5</v>
      </c>
      <c r="B43" s="9" t="s">
        <v>162</v>
      </c>
      <c r="C43" s="52">
        <f>C84</f>
        <v>15193.080719175365</v>
      </c>
    </row>
    <row r="44" spans="1:3" ht="12.75">
      <c r="A44" s="84">
        <v>6</v>
      </c>
      <c r="B44" s="9" t="s">
        <v>1051</v>
      </c>
      <c r="C44" s="48">
        <f>C85+C87+C88+C89+C86</f>
        <v>25782.593750479005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224443.97526783083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C19*2%</f>
        <v>19149.546000000002</v>
      </c>
    </row>
    <row r="52" spans="1:3" ht="12.75">
      <c r="A52" s="84">
        <v>2</v>
      </c>
      <c r="B52" s="9" t="s">
        <v>391</v>
      </c>
      <c r="C52" s="48">
        <f>C53</f>
        <v>56299.66524</v>
      </c>
    </row>
    <row r="53" spans="1:4" ht="12.75">
      <c r="A53" s="49"/>
      <c r="B53" s="5" t="s">
        <v>334</v>
      </c>
      <c r="C53" s="41">
        <f>(C19-C51)*6%</f>
        <v>56299.66524</v>
      </c>
      <c r="D53" s="19"/>
    </row>
    <row r="54" spans="1:3" ht="13.5" thickBot="1">
      <c r="A54" s="54"/>
      <c r="B54" s="55" t="s">
        <v>967</v>
      </c>
      <c r="C54" s="56">
        <f>C51+C52</f>
        <v>75449.21124</v>
      </c>
    </row>
    <row r="55" spans="1:3" ht="12.75">
      <c r="A55" s="23"/>
      <c r="B55" s="4" t="s">
        <v>288</v>
      </c>
      <c r="C55" s="11">
        <f>C37+C49+C54</f>
        <v>1017883.6545078306</v>
      </c>
    </row>
    <row r="56" spans="1:3" ht="12.75">
      <c r="A56" s="23"/>
      <c r="B56" s="77"/>
      <c r="C56" s="1"/>
    </row>
    <row r="57" spans="1:3" ht="15">
      <c r="A57" s="23"/>
      <c r="B57" s="14" t="s">
        <v>812</v>
      </c>
      <c r="C57" s="11">
        <v>97816.38</v>
      </c>
    </row>
    <row r="58" spans="1:3" ht="15">
      <c r="A58" s="23"/>
      <c r="B58" s="14" t="s">
        <v>180</v>
      </c>
      <c r="C58" s="11">
        <f>C55+C57-C19</f>
        <v>158222.73450783058</v>
      </c>
    </row>
    <row r="59" ht="12.75">
      <c r="B59" s="1" t="s">
        <v>85</v>
      </c>
    </row>
    <row r="60" ht="18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199</v>
      </c>
      <c r="D62" s="2"/>
    </row>
    <row r="63" spans="1:5" ht="13.5" thickBot="1">
      <c r="A63" s="37"/>
      <c r="B63" s="37" t="s">
        <v>969</v>
      </c>
      <c r="C63" s="32" t="s">
        <v>886</v>
      </c>
      <c r="D63" s="211">
        <f>C8+C9</f>
        <v>4354.030000000001</v>
      </c>
      <c r="E63" t="s">
        <v>116</v>
      </c>
    </row>
    <row r="64" spans="1:5" ht="12.75">
      <c r="A64" s="60" t="s">
        <v>218</v>
      </c>
      <c r="B64" s="39" t="s">
        <v>286</v>
      </c>
      <c r="C64" s="47">
        <v>372949.29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1961</v>
      </c>
      <c r="D66" s="15"/>
      <c r="E66" s="15"/>
    </row>
    <row r="67" spans="1:5" ht="12.75">
      <c r="A67" s="62" t="s">
        <v>166</v>
      </c>
      <c r="B67" s="6" t="s">
        <v>44</v>
      </c>
      <c r="C67" s="41">
        <v>10026.39</v>
      </c>
      <c r="D67" s="15"/>
      <c r="E67" s="15"/>
    </row>
    <row r="68" spans="1:5" ht="12.75">
      <c r="A68" s="62" t="s">
        <v>166</v>
      </c>
      <c r="B68" s="6" t="s">
        <v>277</v>
      </c>
      <c r="C68" s="41">
        <v>18176</v>
      </c>
      <c r="D68" s="15"/>
      <c r="E68" s="15"/>
    </row>
    <row r="69" spans="1:5" ht="12.75">
      <c r="A69" s="62" t="s">
        <v>166</v>
      </c>
      <c r="B69" s="6" t="s">
        <v>81</v>
      </c>
      <c r="C69" s="41">
        <v>9012.3</v>
      </c>
      <c r="D69" s="15"/>
      <c r="E69" s="15"/>
    </row>
    <row r="70" spans="1:5" ht="12.75">
      <c r="A70" s="62" t="s">
        <v>166</v>
      </c>
      <c r="B70" s="6" t="s">
        <v>80</v>
      </c>
      <c r="C70" s="41">
        <v>9707.62</v>
      </c>
      <c r="D70" s="15"/>
      <c r="E70" s="15"/>
    </row>
    <row r="71" spans="1:5" ht="12.75">
      <c r="A71" s="62" t="s">
        <v>166</v>
      </c>
      <c r="B71" s="6" t="s">
        <v>82</v>
      </c>
      <c r="C71" s="41">
        <v>1800</v>
      </c>
      <c r="D71" s="15"/>
      <c r="E71" s="15"/>
    </row>
    <row r="72" spans="1:5" ht="12.75">
      <c r="A72" s="62" t="s">
        <v>166</v>
      </c>
      <c r="B72" s="6" t="s">
        <v>78</v>
      </c>
      <c r="C72" s="41">
        <v>18939.43</v>
      </c>
      <c r="D72" s="15"/>
      <c r="E72" s="15"/>
    </row>
    <row r="73" spans="1:5" ht="13.5" thickBot="1">
      <c r="A73" s="62" t="s">
        <v>166</v>
      </c>
      <c r="B73" s="6" t="s">
        <v>66</v>
      </c>
      <c r="C73" s="41">
        <v>1746.79</v>
      </c>
      <c r="D73" s="15"/>
      <c r="E73" s="15"/>
    </row>
    <row r="74" spans="1:5" ht="12.75">
      <c r="A74" s="60" t="s">
        <v>328</v>
      </c>
      <c r="B74" s="39" t="s">
        <v>343</v>
      </c>
      <c r="C74" s="47">
        <v>25673.68</v>
      </c>
      <c r="D74" s="15"/>
      <c r="E74" s="12"/>
    </row>
    <row r="75" spans="1:5" ht="12.75">
      <c r="A75" s="61"/>
      <c r="B75" s="6" t="s">
        <v>118</v>
      </c>
      <c r="C75" s="41"/>
      <c r="D75" s="15"/>
      <c r="E75" s="12"/>
    </row>
    <row r="76" spans="1:5" ht="12.75">
      <c r="A76" s="62" t="s">
        <v>166</v>
      </c>
      <c r="B76" s="6" t="s">
        <v>380</v>
      </c>
      <c r="C76" s="41">
        <v>2448</v>
      </c>
      <c r="D76" s="15"/>
      <c r="E76" s="12"/>
    </row>
    <row r="77" spans="1:5" ht="12.75">
      <c r="A77" s="100"/>
      <c r="B77" s="68" t="s">
        <v>450</v>
      </c>
      <c r="C77" s="69">
        <v>9360</v>
      </c>
      <c r="D77" s="15"/>
      <c r="E77" s="12"/>
    </row>
    <row r="78" spans="1:5" ht="13.5" thickBot="1">
      <c r="A78" s="63" t="s">
        <v>166</v>
      </c>
      <c r="B78" s="42" t="s">
        <v>818</v>
      </c>
      <c r="C78" s="46">
        <v>246.43</v>
      </c>
      <c r="D78" s="15"/>
      <c r="E78" s="15"/>
    </row>
    <row r="79" spans="1:5" ht="12.75">
      <c r="A79" s="300" t="s">
        <v>787</v>
      </c>
      <c r="B79" s="97" t="s">
        <v>1050</v>
      </c>
      <c r="C79" s="82">
        <f>C80+C81+C83+C82+C84+C85+C87+C88+C89+C86</f>
        <v>224443.9752678308</v>
      </c>
      <c r="D79" s="15"/>
      <c r="E79" s="12"/>
    </row>
    <row r="80" spans="1:5" ht="13.5" thickBot="1">
      <c r="A80" s="40" t="s">
        <v>166</v>
      </c>
      <c r="B80" s="6" t="s">
        <v>227</v>
      </c>
      <c r="C80" s="41">
        <f>C39</f>
        <v>143621.595</v>
      </c>
      <c r="D80" s="15"/>
      <c r="E80" s="12"/>
    </row>
    <row r="81" spans="1:5" ht="12.75">
      <c r="A81" s="40" t="s">
        <v>166</v>
      </c>
      <c r="B81" s="6" t="s">
        <v>370</v>
      </c>
      <c r="C81" s="317">
        <f>401410.25/185335.63*C8</f>
        <v>9285.9551515135</v>
      </c>
      <c r="D81" s="375" t="s">
        <v>150</v>
      </c>
      <c r="E81" s="376"/>
    </row>
    <row r="82" spans="1:5" ht="12.75">
      <c r="A82" s="73" t="s">
        <v>166</v>
      </c>
      <c r="B82" s="74" t="s">
        <v>397</v>
      </c>
      <c r="C82" s="317">
        <f>435991.01/185335.63*C8</f>
        <v>10085.923230219143</v>
      </c>
      <c r="D82" s="377" t="s">
        <v>151</v>
      </c>
      <c r="E82" s="378"/>
    </row>
    <row r="83" spans="1:5" ht="12.75">
      <c r="A83" s="71" t="s">
        <v>166</v>
      </c>
      <c r="B83" s="72" t="s">
        <v>416</v>
      </c>
      <c r="C83" s="317">
        <f>1082167/226605.83*C8</f>
        <v>20474.82741644379</v>
      </c>
      <c r="D83" s="379" t="s">
        <v>152</v>
      </c>
      <c r="E83" s="380"/>
    </row>
    <row r="84" spans="1:5" ht="25.5">
      <c r="A84" s="73" t="s">
        <v>166</v>
      </c>
      <c r="B84" s="72" t="s">
        <v>231</v>
      </c>
      <c r="C84" s="318">
        <f>845684.35/242356.05*D63</f>
        <v>15193.080719175365</v>
      </c>
      <c r="D84" s="381" t="s">
        <v>153</v>
      </c>
      <c r="E84" s="382"/>
    </row>
    <row r="85" spans="1:5" ht="12.75">
      <c r="A85" s="73" t="s">
        <v>166</v>
      </c>
      <c r="B85" s="74" t="s">
        <v>808</v>
      </c>
      <c r="C85" s="318">
        <f>642562.44/242356.05*D63</f>
        <v>11543.908809510636</v>
      </c>
      <c r="D85" s="371" t="s">
        <v>154</v>
      </c>
      <c r="E85" s="372"/>
    </row>
    <row r="86" spans="1:5" ht="12.75">
      <c r="A86" s="73" t="s">
        <v>166</v>
      </c>
      <c r="B86" s="74" t="s">
        <v>826</v>
      </c>
      <c r="C86" s="318">
        <f>51615/196822.43*D63</f>
        <v>1141.8071530262077</v>
      </c>
      <c r="D86" s="371" t="s">
        <v>155</v>
      </c>
      <c r="E86" s="372"/>
    </row>
    <row r="87" spans="1:5" ht="12.75">
      <c r="A87" s="73" t="s">
        <v>166</v>
      </c>
      <c r="B87" s="74" t="s">
        <v>655</v>
      </c>
      <c r="C87" s="318">
        <f>129011.28/196822.43*D63</f>
        <v>2853.93785382286</v>
      </c>
      <c r="D87" s="371" t="s">
        <v>156</v>
      </c>
      <c r="E87" s="372"/>
    </row>
    <row r="88" spans="1:5" ht="12.75">
      <c r="A88" s="73" t="s">
        <v>166</v>
      </c>
      <c r="B88" s="74" t="s">
        <v>656</v>
      </c>
      <c r="C88" s="318">
        <f>164128/196822.43*D63</f>
        <v>3630.7764101886155</v>
      </c>
      <c r="D88" s="373" t="s">
        <v>157</v>
      </c>
      <c r="E88" s="374"/>
    </row>
    <row r="89" spans="1:5" ht="13.5" thickBot="1">
      <c r="A89" s="75" t="s">
        <v>166</v>
      </c>
      <c r="B89" s="76" t="s">
        <v>809</v>
      </c>
      <c r="C89" s="319">
        <f>298900.58/196822.43*D63</f>
        <v>6612.163523930683</v>
      </c>
      <c r="D89" s="369" t="s">
        <v>158</v>
      </c>
      <c r="E89" s="370"/>
    </row>
    <row r="90" ht="13.5" thickBot="1"/>
    <row r="91" spans="2:5" ht="26.25" thickBot="1">
      <c r="B91" s="143"/>
      <c r="C91" s="205" t="s">
        <v>104</v>
      </c>
      <c r="D91" s="236" t="s">
        <v>306</v>
      </c>
      <c r="E91" s="130" t="s">
        <v>305</v>
      </c>
    </row>
    <row r="92" spans="2:5" ht="13.5" thickBot="1">
      <c r="B92" s="363" t="s">
        <v>937</v>
      </c>
      <c r="C92" s="364"/>
      <c r="D92" s="364"/>
      <c r="E92" s="365"/>
    </row>
    <row r="93" spans="2:5" ht="12.75">
      <c r="B93" s="140" t="s">
        <v>285</v>
      </c>
      <c r="C93" s="234">
        <v>420847.84</v>
      </c>
      <c r="D93" s="218">
        <v>532489.6</v>
      </c>
      <c r="E93" s="44">
        <f>D93-C93</f>
        <v>111641.75999999995</v>
      </c>
    </row>
    <row r="94" spans="2:5" ht="12.75">
      <c r="B94" s="115" t="s">
        <v>637</v>
      </c>
      <c r="C94" s="10">
        <v>151721.29</v>
      </c>
      <c r="D94" s="99">
        <v>189905.75</v>
      </c>
      <c r="E94" s="45">
        <f>D94-C94</f>
        <v>38184.45999999999</v>
      </c>
    </row>
    <row r="95" spans="2:5" ht="13.5" thickBot="1">
      <c r="B95" s="157" t="s">
        <v>394</v>
      </c>
      <c r="C95" s="225">
        <v>90925</v>
      </c>
      <c r="D95" s="227">
        <v>90925</v>
      </c>
      <c r="E95" s="46">
        <f>D95-C95</f>
        <v>0</v>
      </c>
    </row>
    <row r="96" spans="2:5" ht="13.5" thickBot="1">
      <c r="B96" s="124"/>
      <c r="C96" s="252">
        <f>SUM(C93:C95)</f>
        <v>663494.13</v>
      </c>
      <c r="D96" s="252">
        <f>SUM(D93:D95)</f>
        <v>813320.35</v>
      </c>
      <c r="E96" s="119">
        <f>SUM(E93:E95)</f>
        <v>149826.21999999994</v>
      </c>
    </row>
    <row r="97" spans="2:5" ht="13.5" thickBot="1">
      <c r="B97" s="363" t="s">
        <v>938</v>
      </c>
      <c r="C97" s="364"/>
      <c r="D97" s="364"/>
      <c r="E97" s="365"/>
    </row>
    <row r="98" spans="2:5" ht="12.75">
      <c r="B98" s="140" t="s">
        <v>285</v>
      </c>
      <c r="C98" s="234">
        <v>552550.28</v>
      </c>
      <c r="D98" s="218">
        <v>550686.23</v>
      </c>
      <c r="E98" s="253">
        <f aca="true" t="shared" si="1" ref="E98:E103">D98-C98</f>
        <v>-1864.0500000000466</v>
      </c>
    </row>
    <row r="99" spans="2:5" ht="12.75">
      <c r="B99" s="115" t="s">
        <v>637</v>
      </c>
      <c r="C99" s="10">
        <v>186761.93</v>
      </c>
      <c r="D99" s="99">
        <v>187045.23</v>
      </c>
      <c r="E99" s="53">
        <f t="shared" si="1"/>
        <v>283.30000000001746</v>
      </c>
    </row>
    <row r="100" spans="2:5" ht="12.75">
      <c r="B100" s="115" t="s">
        <v>232</v>
      </c>
      <c r="C100" s="125">
        <v>11161.32</v>
      </c>
      <c r="D100" s="125">
        <v>14077.81</v>
      </c>
      <c r="E100" s="81">
        <f t="shared" si="1"/>
        <v>2916.49</v>
      </c>
    </row>
    <row r="101" spans="2:5" ht="12.75">
      <c r="B101" s="220" t="s">
        <v>113</v>
      </c>
      <c r="C101" s="125">
        <v>2324</v>
      </c>
      <c r="D101" s="125">
        <v>2324</v>
      </c>
      <c r="E101" s="81">
        <f t="shared" si="1"/>
        <v>0</v>
      </c>
    </row>
    <row r="102" spans="2:5" ht="12.75">
      <c r="B102" s="220" t="s">
        <v>364</v>
      </c>
      <c r="C102" s="10">
        <v>51189.46</v>
      </c>
      <c r="D102" s="99">
        <v>56871.25</v>
      </c>
      <c r="E102" s="53">
        <f t="shared" si="1"/>
        <v>5681.790000000001</v>
      </c>
    </row>
    <row r="103" spans="2:5" ht="13.5" thickBot="1">
      <c r="B103" s="157" t="s">
        <v>630</v>
      </c>
      <c r="C103" s="142">
        <v>4200</v>
      </c>
      <c r="D103" s="142">
        <v>4500</v>
      </c>
      <c r="E103" s="85">
        <f t="shared" si="1"/>
        <v>300</v>
      </c>
    </row>
    <row r="104" spans="2:5" ht="13.5" thickBot="1">
      <c r="B104" s="187"/>
      <c r="C104" s="254">
        <f>SUM(C98:C103)</f>
        <v>808186.9899999999</v>
      </c>
      <c r="D104" s="255">
        <f>SUM(D98:D103)</f>
        <v>815504.52</v>
      </c>
      <c r="E104" s="256">
        <f>SUM(E98:E103)</f>
        <v>7317.529999999972</v>
      </c>
    </row>
    <row r="105" spans="2:5" ht="13.5" thickBot="1">
      <c r="B105" s="418" t="s">
        <v>639</v>
      </c>
      <c r="C105" s="419"/>
      <c r="D105" s="419"/>
      <c r="E105" s="420"/>
    </row>
    <row r="106" spans="2:5" ht="12.75">
      <c r="B106" s="140" t="s">
        <v>285</v>
      </c>
      <c r="C106" s="234">
        <v>550151.64</v>
      </c>
      <c r="D106" s="218">
        <v>551534.6</v>
      </c>
      <c r="E106" s="253">
        <f aca="true" t="shared" si="2" ref="E106:E111">D106-C106</f>
        <v>1382.9599999999627</v>
      </c>
    </row>
    <row r="107" spans="2:5" ht="12.75">
      <c r="B107" s="115" t="s">
        <v>637</v>
      </c>
      <c r="C107" s="10">
        <v>188011.73</v>
      </c>
      <c r="D107" s="99">
        <v>187353.5</v>
      </c>
      <c r="E107" s="53">
        <f t="shared" si="2"/>
        <v>-658.2300000000105</v>
      </c>
    </row>
    <row r="108" spans="2:5" ht="12.75">
      <c r="B108" s="220" t="s">
        <v>364</v>
      </c>
      <c r="C108" s="125">
        <v>56707.03</v>
      </c>
      <c r="D108" s="125">
        <v>56426.66</v>
      </c>
      <c r="E108" s="81">
        <f t="shared" si="2"/>
        <v>-280.36999999999534</v>
      </c>
    </row>
    <row r="109" spans="2:5" ht="12.75">
      <c r="B109" s="115" t="s">
        <v>232</v>
      </c>
      <c r="C109" s="125">
        <v>27933.14</v>
      </c>
      <c r="D109" s="125">
        <v>25016.65</v>
      </c>
      <c r="E109" s="81">
        <f t="shared" si="2"/>
        <v>-2916.489999999998</v>
      </c>
    </row>
    <row r="110" spans="2:5" ht="12.75">
      <c r="B110" s="115" t="s">
        <v>630</v>
      </c>
      <c r="C110" s="125">
        <v>10000.3</v>
      </c>
      <c r="D110" s="125">
        <v>10000.3</v>
      </c>
      <c r="E110" s="81">
        <f t="shared" si="2"/>
        <v>0</v>
      </c>
    </row>
    <row r="111" spans="2:5" ht="13.5" thickBot="1">
      <c r="B111" s="157" t="s">
        <v>1200</v>
      </c>
      <c r="C111" s="142">
        <v>42429.42</v>
      </c>
      <c r="D111" s="142">
        <v>42429.42</v>
      </c>
      <c r="E111" s="85">
        <f t="shared" si="2"/>
        <v>0</v>
      </c>
    </row>
    <row r="112" spans="2:5" ht="13.5" thickBot="1">
      <c r="B112" s="324"/>
      <c r="C112" s="119">
        <f>SUM(C106:C111)</f>
        <v>875233.2600000001</v>
      </c>
      <c r="D112" s="119">
        <f>SUM(D106:D111)</f>
        <v>872761.1300000001</v>
      </c>
      <c r="E112" s="119">
        <f>SUM(E106:E111)</f>
        <v>-2472.130000000041</v>
      </c>
    </row>
    <row r="113" spans="2:5" ht="13.5" thickBot="1">
      <c r="B113" s="363" t="s">
        <v>1113</v>
      </c>
      <c r="C113" s="364"/>
      <c r="D113" s="364"/>
      <c r="E113" s="365"/>
    </row>
    <row r="114" spans="2:5" ht="12.75">
      <c r="B114" s="140" t="s">
        <v>285</v>
      </c>
      <c r="C114" s="234">
        <v>537658.14</v>
      </c>
      <c r="D114" s="218">
        <v>562136.95</v>
      </c>
      <c r="E114" s="253">
        <f aca="true" t="shared" si="3" ref="E114:E120">D114-C114</f>
        <v>24478.80999999994</v>
      </c>
    </row>
    <row r="115" spans="2:5" ht="12.75">
      <c r="B115" s="115" t="s">
        <v>637</v>
      </c>
      <c r="C115" s="10">
        <v>182599.92</v>
      </c>
      <c r="D115" s="99">
        <v>191156.11</v>
      </c>
      <c r="E115" s="53">
        <f t="shared" si="3"/>
        <v>8556.189999999973</v>
      </c>
    </row>
    <row r="116" spans="2:5" ht="12.75">
      <c r="B116" s="115" t="s">
        <v>423</v>
      </c>
      <c r="C116" s="10">
        <v>3087.51</v>
      </c>
      <c r="D116" s="99">
        <v>4400</v>
      </c>
      <c r="E116" s="53">
        <f t="shared" si="3"/>
        <v>1312.4899999999998</v>
      </c>
    </row>
    <row r="117" spans="2:5" ht="12.75">
      <c r="B117" s="116" t="s">
        <v>364</v>
      </c>
      <c r="C117" s="258">
        <v>49411.96</v>
      </c>
      <c r="D117" s="258">
        <v>51457.35</v>
      </c>
      <c r="E117" s="53">
        <f t="shared" si="3"/>
        <v>2045.3899999999994</v>
      </c>
    </row>
    <row r="118" spans="2:5" ht="12.75">
      <c r="B118" s="115" t="s">
        <v>232</v>
      </c>
      <c r="C118" s="125">
        <v>13765.51</v>
      </c>
      <c r="D118" s="125">
        <v>13765.51</v>
      </c>
      <c r="E118" s="81">
        <f t="shared" si="3"/>
        <v>0</v>
      </c>
    </row>
    <row r="119" spans="2:5" ht="12.75">
      <c r="B119" s="220" t="s">
        <v>377</v>
      </c>
      <c r="C119" s="125">
        <v>10170</v>
      </c>
      <c r="D119" s="125">
        <v>8790.27</v>
      </c>
      <c r="E119" s="81">
        <f t="shared" si="3"/>
        <v>-1379.7299999999996</v>
      </c>
    </row>
    <row r="120" spans="2:5" ht="13.5" thickBot="1">
      <c r="B120" s="156" t="s">
        <v>792</v>
      </c>
      <c r="C120" s="142">
        <v>3900</v>
      </c>
      <c r="D120" s="142">
        <v>4400</v>
      </c>
      <c r="E120" s="85">
        <f t="shared" si="3"/>
        <v>500</v>
      </c>
    </row>
    <row r="121" spans="2:5" ht="13.5" thickBot="1">
      <c r="B121" s="187"/>
      <c r="C121" s="254">
        <f>SUM(C114:C120)</f>
        <v>800593.04</v>
      </c>
      <c r="D121" s="255">
        <f>SUM(D114:D120)</f>
        <v>836106.19</v>
      </c>
      <c r="E121" s="256">
        <f>SUM(E114:E120)</f>
        <v>35513.14999999991</v>
      </c>
    </row>
    <row r="122" spans="2:5" ht="13.5" thickBot="1">
      <c r="B122" s="363" t="s">
        <v>87</v>
      </c>
      <c r="C122" s="364"/>
      <c r="D122" s="364"/>
      <c r="E122" s="365"/>
    </row>
    <row r="123" spans="2:5" ht="12.75">
      <c r="B123" s="140" t="s">
        <v>285</v>
      </c>
      <c r="C123" s="141">
        <v>635523.07</v>
      </c>
      <c r="D123" s="155">
        <v>648540.52</v>
      </c>
      <c r="E123" s="253">
        <f aca="true" t="shared" si="4" ref="E123:E129">D123-C123</f>
        <v>13017.45000000007</v>
      </c>
    </row>
    <row r="124" spans="2:5" ht="12.75">
      <c r="B124" s="115" t="s">
        <v>637</v>
      </c>
      <c r="C124" s="5">
        <v>215594.95</v>
      </c>
      <c r="D124" s="34">
        <v>220720.23</v>
      </c>
      <c r="E124" s="53">
        <f t="shared" si="4"/>
        <v>5125.279999999999</v>
      </c>
    </row>
    <row r="125" spans="2:5" ht="12.75">
      <c r="B125" s="116" t="s">
        <v>364</v>
      </c>
      <c r="C125" s="65">
        <v>57285.87</v>
      </c>
      <c r="D125" s="70">
        <v>56006.92</v>
      </c>
      <c r="E125" s="53">
        <f t="shared" si="4"/>
        <v>-1278.9500000000044</v>
      </c>
    </row>
    <row r="126" spans="2:5" ht="12.75">
      <c r="B126" s="116" t="s">
        <v>29</v>
      </c>
      <c r="C126" s="94">
        <f>2400+3600+7200+9090.27</f>
        <v>22290.27</v>
      </c>
      <c r="D126" s="83">
        <f>2400+3300+7200+10320.36</f>
        <v>23220.36</v>
      </c>
      <c r="E126" s="53">
        <f t="shared" si="4"/>
        <v>930.0900000000001</v>
      </c>
    </row>
    <row r="127" spans="2:5" ht="12.75">
      <c r="B127" s="115" t="s">
        <v>372</v>
      </c>
      <c r="C127" s="122">
        <v>1000</v>
      </c>
      <c r="D127" s="122">
        <v>1000</v>
      </c>
      <c r="E127" s="53">
        <f t="shared" si="4"/>
        <v>0</v>
      </c>
    </row>
    <row r="128" spans="2:5" ht="12.75">
      <c r="B128" s="115" t="s">
        <v>232</v>
      </c>
      <c r="C128" s="125">
        <v>15088.86</v>
      </c>
      <c r="D128" s="125">
        <v>15088.86</v>
      </c>
      <c r="E128" s="81">
        <f t="shared" si="4"/>
        <v>0</v>
      </c>
    </row>
    <row r="129" spans="2:5" ht="13.5" thickBot="1">
      <c r="B129" s="266" t="s">
        <v>393</v>
      </c>
      <c r="C129" s="229">
        <v>10694.28</v>
      </c>
      <c r="D129" s="229">
        <v>10560</v>
      </c>
      <c r="E129" s="85">
        <f t="shared" si="4"/>
        <v>-134.28000000000065</v>
      </c>
    </row>
    <row r="130" spans="2:5" ht="13.5" thickBot="1">
      <c r="B130" s="187"/>
      <c r="C130" s="254">
        <f>SUM(C123:C129)</f>
        <v>957477.3</v>
      </c>
      <c r="D130" s="255">
        <f>SUM(D123:D129)</f>
        <v>975136.89</v>
      </c>
      <c r="E130" s="256">
        <f>SUM(E123:E129)</f>
        <v>17659.590000000062</v>
      </c>
    </row>
    <row r="131" spans="2:5" ht="13.5" thickBot="1">
      <c r="B131" s="366" t="s">
        <v>379</v>
      </c>
      <c r="C131" s="367"/>
      <c r="D131" s="367"/>
      <c r="E131" s="368"/>
    </row>
    <row r="132" spans="2:5" ht="13.5" thickBot="1">
      <c r="B132" s="153"/>
      <c r="C132" s="117">
        <f>C112+C104+C96+C121+C130</f>
        <v>4104984.7199999997</v>
      </c>
      <c r="D132" s="117">
        <f>D112+D104+D96+D121+D130</f>
        <v>4312829.08</v>
      </c>
      <c r="E132" s="117">
        <f>E112+E104+E96+E121+E130</f>
        <v>207844.35999999984</v>
      </c>
    </row>
  </sheetData>
  <sheetProtection/>
  <mergeCells count="23">
    <mergeCell ref="B131:E131"/>
    <mergeCell ref="B122:E122"/>
    <mergeCell ref="B92:E92"/>
    <mergeCell ref="B97:E97"/>
    <mergeCell ref="B105:E105"/>
    <mergeCell ref="B113:E113"/>
    <mergeCell ref="A6:E6"/>
    <mergeCell ref="A20:D20"/>
    <mergeCell ref="A21:D21"/>
    <mergeCell ref="D25:E25"/>
    <mergeCell ref="A2:B2"/>
    <mergeCell ref="C2:E2"/>
    <mergeCell ref="C3:E3"/>
    <mergeCell ref="B4:E4"/>
    <mergeCell ref="D89:E89"/>
    <mergeCell ref="D85:E85"/>
    <mergeCell ref="D86:E86"/>
    <mergeCell ref="D87:E87"/>
    <mergeCell ref="D88:E88"/>
    <mergeCell ref="D81:E81"/>
    <mergeCell ref="D82:E82"/>
    <mergeCell ref="D83:E83"/>
    <mergeCell ref="D84:E84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6.00390625" style="0" customWidth="1"/>
    <col min="3" max="3" width="10.25390625" style="0" customWidth="1"/>
    <col min="4" max="4" width="12.125" style="0" customWidth="1"/>
    <col min="5" max="5" width="12.00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6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390</v>
      </c>
      <c r="C7" s="26"/>
      <c r="D7" s="24"/>
    </row>
    <row r="8" spans="1:4" ht="15">
      <c r="A8" s="26"/>
      <c r="B8" s="27" t="s">
        <v>115</v>
      </c>
      <c r="C8" s="38">
        <v>2153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141">
        <v>306990.06</v>
      </c>
      <c r="D11" s="155">
        <v>323451.52</v>
      </c>
      <c r="E11" s="242">
        <f aca="true" t="shared" si="0" ref="E11:E16">D11-C11</f>
        <v>16461.46000000002</v>
      </c>
    </row>
    <row r="12" spans="1:5" ht="12.75">
      <c r="A12" s="84">
        <v>2</v>
      </c>
      <c r="B12" s="5" t="s">
        <v>637</v>
      </c>
      <c r="C12" s="5">
        <v>105045.3</v>
      </c>
      <c r="D12" s="34">
        <v>110576.78</v>
      </c>
      <c r="E12" s="57">
        <f t="shared" si="0"/>
        <v>5531.479999999996</v>
      </c>
    </row>
    <row r="13" spans="1:5" ht="12.75">
      <c r="A13" s="87">
        <v>3</v>
      </c>
      <c r="B13" s="65" t="s">
        <v>364</v>
      </c>
      <c r="C13" s="65">
        <v>31402.12</v>
      </c>
      <c r="D13" s="70">
        <v>31660.32</v>
      </c>
      <c r="E13" s="57">
        <f t="shared" si="0"/>
        <v>258.2000000000007</v>
      </c>
    </row>
    <row r="14" spans="1:5" ht="12.75">
      <c r="A14" s="84">
        <v>4</v>
      </c>
      <c r="B14" s="65" t="s">
        <v>29</v>
      </c>
      <c r="C14" s="94">
        <f>2400+3600+3600</f>
        <v>9600</v>
      </c>
      <c r="D14" s="83">
        <f>2400+3300+3600</f>
        <v>9300</v>
      </c>
      <c r="E14" s="57">
        <f t="shared" si="0"/>
        <v>-300</v>
      </c>
    </row>
    <row r="15" spans="1:5" ht="12.75">
      <c r="A15" s="84">
        <v>5</v>
      </c>
      <c r="B15" s="105" t="s">
        <v>415</v>
      </c>
      <c r="C15" s="122">
        <v>2935.69</v>
      </c>
      <c r="D15" s="122">
        <v>1575.4</v>
      </c>
      <c r="E15" s="66">
        <f t="shared" si="0"/>
        <v>-1360.29</v>
      </c>
    </row>
    <row r="16" spans="1:5" ht="13.5" thickBot="1">
      <c r="A16" s="84">
        <v>6</v>
      </c>
      <c r="B16" s="5" t="s">
        <v>372</v>
      </c>
      <c r="C16" s="122">
        <v>1000</v>
      </c>
      <c r="D16" s="122">
        <v>1000</v>
      </c>
      <c r="E16" s="123">
        <f t="shared" si="0"/>
        <v>0</v>
      </c>
    </row>
    <row r="17" spans="1:5" ht="13.5" thickBot="1">
      <c r="A17" s="208"/>
      <c r="B17" s="209"/>
      <c r="C17" s="135">
        <f>SUM(C11:C16)</f>
        <v>456973.17</v>
      </c>
      <c r="D17" s="135">
        <f>SUM(D11:D16)</f>
        <v>477564.0200000001</v>
      </c>
      <c r="E17" s="289">
        <f>SUM(E11:E16)</f>
        <v>20590.850000000017</v>
      </c>
    </row>
    <row r="18" spans="1:5" ht="12.75">
      <c r="A18" s="385" t="s">
        <v>793</v>
      </c>
      <c r="B18" s="386"/>
      <c r="C18" s="386"/>
      <c r="D18" s="386"/>
      <c r="E18" s="108">
        <f>E118</f>
        <v>149878.29999999996</v>
      </c>
    </row>
    <row r="19" spans="1:5" ht="12.75">
      <c r="A19" s="387" t="s">
        <v>794</v>
      </c>
      <c r="B19" s="384"/>
      <c r="C19" s="384"/>
      <c r="D19" s="384"/>
      <c r="E19" s="22">
        <v>214708.66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12.75">
      <c r="A22" s="86">
        <v>1</v>
      </c>
      <c r="B22" s="64" t="s">
        <v>417</v>
      </c>
      <c r="C22" s="80">
        <f>C62</f>
        <v>134691.78</v>
      </c>
      <c r="E22" s="29"/>
    </row>
    <row r="23" spans="1:5" ht="12.75">
      <c r="A23" s="91">
        <v>2</v>
      </c>
      <c r="B23" s="25" t="s">
        <v>344</v>
      </c>
      <c r="C23" s="102">
        <f>C68</f>
        <v>10863.64</v>
      </c>
      <c r="D23" s="388"/>
      <c r="E23" s="389"/>
    </row>
    <row r="24" spans="1:5" ht="12.75">
      <c r="A24" s="84">
        <v>3</v>
      </c>
      <c r="B24" s="9" t="s">
        <v>649</v>
      </c>
      <c r="C24" s="48">
        <v>3317.73</v>
      </c>
      <c r="E24" s="29"/>
    </row>
    <row r="25" spans="1:5" ht="12.75">
      <c r="A25" s="84">
        <v>4</v>
      </c>
      <c r="B25" s="9" t="s">
        <v>122</v>
      </c>
      <c r="C25" s="48">
        <f>(C8*0.55*12)</f>
        <v>14209.800000000001</v>
      </c>
      <c r="E25" s="29"/>
    </row>
    <row r="26" spans="1:5" ht="12.75">
      <c r="A26" s="84">
        <v>5</v>
      </c>
      <c r="B26" s="9" t="s">
        <v>658</v>
      </c>
      <c r="C26" s="79">
        <v>24080.16</v>
      </c>
      <c r="E26" s="29"/>
    </row>
    <row r="27" spans="1:5" ht="12.75">
      <c r="A27" s="91">
        <v>6</v>
      </c>
      <c r="B27" s="25" t="s">
        <v>43</v>
      </c>
      <c r="C27" s="96">
        <v>73920</v>
      </c>
      <c r="E27" s="29"/>
    </row>
    <row r="28" spans="1:5" ht="25.5" customHeight="1">
      <c r="A28" s="91">
        <v>7</v>
      </c>
      <c r="B28" s="25" t="s">
        <v>67</v>
      </c>
      <c r="C28" s="96">
        <v>47706.64</v>
      </c>
      <c r="E28" s="29"/>
    </row>
    <row r="29" spans="1:5" ht="12.75">
      <c r="A29" s="91">
        <v>8</v>
      </c>
      <c r="B29" s="346" t="s">
        <v>26</v>
      </c>
      <c r="C29" s="96">
        <v>600</v>
      </c>
      <c r="E29" s="29"/>
    </row>
    <row r="30" spans="1:5" ht="25.5">
      <c r="A30" s="91">
        <v>9</v>
      </c>
      <c r="B30" s="25" t="s">
        <v>40</v>
      </c>
      <c r="C30" s="96">
        <v>3000</v>
      </c>
      <c r="E30" s="29"/>
    </row>
    <row r="31" spans="1:5" ht="25.5">
      <c r="A31" s="91">
        <v>10</v>
      </c>
      <c r="B31" s="25" t="s">
        <v>45</v>
      </c>
      <c r="C31" s="96">
        <v>4500</v>
      </c>
      <c r="E31" s="29"/>
    </row>
    <row r="32" spans="1:5" ht="12.75">
      <c r="A32" s="91">
        <v>11</v>
      </c>
      <c r="B32" s="25" t="s">
        <v>46</v>
      </c>
      <c r="C32" s="96">
        <v>21276.72</v>
      </c>
      <c r="E32" s="29"/>
    </row>
    <row r="33" spans="1:5" ht="12.75">
      <c r="A33" s="91">
        <v>12</v>
      </c>
      <c r="B33" s="25" t="s">
        <v>376</v>
      </c>
      <c r="C33" s="96">
        <v>908.6</v>
      </c>
      <c r="E33" s="29"/>
    </row>
    <row r="34" spans="1:5" ht="12.75">
      <c r="A34" s="91">
        <v>13</v>
      </c>
      <c r="B34" s="25" t="s">
        <v>65</v>
      </c>
      <c r="C34" s="96">
        <v>15000</v>
      </c>
      <c r="E34" s="29"/>
    </row>
    <row r="35" spans="1:3" ht="12.75">
      <c r="A35" s="50"/>
      <c r="B35" s="20" t="s">
        <v>629</v>
      </c>
      <c r="C35" s="51">
        <f>SUM(C22:C34)</f>
        <v>354075.06999999995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(C17)*15%</f>
        <v>68545.9755</v>
      </c>
    </row>
    <row r="38" spans="1:3" ht="12.75">
      <c r="A38" s="84">
        <v>2</v>
      </c>
      <c r="B38" s="9" t="s">
        <v>813</v>
      </c>
      <c r="C38" s="48">
        <f>C74</f>
        <v>4663.087546900723</v>
      </c>
    </row>
    <row r="39" spans="1:3" ht="12.75">
      <c r="A39" s="84">
        <v>3</v>
      </c>
      <c r="B39" s="9" t="s">
        <v>653</v>
      </c>
      <c r="C39" s="48">
        <f>C75</f>
        <v>5064.804023543665</v>
      </c>
    </row>
    <row r="40" spans="1:3" ht="12.75">
      <c r="A40" s="84">
        <v>4</v>
      </c>
      <c r="B40" s="9" t="s">
        <v>1114</v>
      </c>
      <c r="C40" s="52">
        <f>C76</f>
        <v>10281.754670654325</v>
      </c>
    </row>
    <row r="41" spans="1:3" ht="12.75">
      <c r="A41" s="84">
        <v>5</v>
      </c>
      <c r="B41" s="9" t="s">
        <v>162</v>
      </c>
      <c r="C41" s="52">
        <f>C77</f>
        <v>7512.741710182189</v>
      </c>
    </row>
    <row r="42" spans="1:3" ht="12.75">
      <c r="A42" s="84">
        <v>6</v>
      </c>
      <c r="B42" s="9" t="s">
        <v>1051</v>
      </c>
      <c r="C42" s="48">
        <f>C78+C80+C81+C82+C79</f>
        <v>12749.090921463858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108817.45437274476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C17*2%</f>
        <v>9139.4634</v>
      </c>
    </row>
    <row r="50" spans="1:3" ht="12.75">
      <c r="A50" s="84">
        <v>2</v>
      </c>
      <c r="B50" s="9" t="s">
        <v>391</v>
      </c>
      <c r="C50" s="48">
        <f>C51</f>
        <v>26870.022395999997</v>
      </c>
    </row>
    <row r="51" spans="1:4" ht="12.75">
      <c r="A51" s="49"/>
      <c r="B51" s="5" t="s">
        <v>334</v>
      </c>
      <c r="C51" s="41">
        <f>(C17-C49)*6%</f>
        <v>26870.022395999997</v>
      </c>
      <c r="D51" s="19"/>
    </row>
    <row r="52" spans="1:3" ht="13.5" thickBot="1">
      <c r="A52" s="54"/>
      <c r="B52" s="55" t="s">
        <v>967</v>
      </c>
      <c r="C52" s="56">
        <f>C49+C50</f>
        <v>36009.48579599999</v>
      </c>
    </row>
    <row r="53" spans="1:3" ht="12.75">
      <c r="A53" s="23"/>
      <c r="B53" s="4" t="s">
        <v>288</v>
      </c>
      <c r="C53" s="11">
        <f>C35+C47+C52</f>
        <v>498902.0101687447</v>
      </c>
    </row>
    <row r="54" spans="1:3" ht="12.75">
      <c r="A54" s="23"/>
      <c r="B54" s="77"/>
      <c r="C54" s="1"/>
    </row>
    <row r="55" spans="1:3" ht="15">
      <c r="A55" s="23"/>
      <c r="B55" s="14" t="s">
        <v>812</v>
      </c>
      <c r="C55" s="11">
        <v>270832.9</v>
      </c>
    </row>
    <row r="56" spans="1:3" ht="15">
      <c r="A56" s="23"/>
      <c r="B56" s="14" t="s">
        <v>180</v>
      </c>
      <c r="C56" s="11">
        <f>C53+C55-C17</f>
        <v>312761.74016874476</v>
      </c>
    </row>
    <row r="57" ht="12.75">
      <c r="B57" s="1" t="s">
        <v>85</v>
      </c>
    </row>
    <row r="58" ht="14.2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438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2153</v>
      </c>
      <c r="E61" t="s">
        <v>116</v>
      </c>
    </row>
    <row r="62" spans="1:5" ht="12.75">
      <c r="A62" s="60" t="s">
        <v>218</v>
      </c>
      <c r="B62" s="39" t="s">
        <v>286</v>
      </c>
      <c r="C62" s="47">
        <v>134691.78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1850</v>
      </c>
      <c r="D64" s="15"/>
      <c r="E64" s="15"/>
    </row>
    <row r="65" spans="1:5" ht="12.75">
      <c r="A65" s="62" t="s">
        <v>166</v>
      </c>
      <c r="B65" s="6" t="s">
        <v>44</v>
      </c>
      <c r="C65" s="41">
        <v>4932.66</v>
      </c>
      <c r="D65" s="15"/>
      <c r="E65" s="15"/>
    </row>
    <row r="66" spans="1:5" ht="12.75">
      <c r="A66" s="62" t="s">
        <v>166</v>
      </c>
      <c r="B66" s="6" t="s">
        <v>277</v>
      </c>
      <c r="C66" s="41">
        <v>9088</v>
      </c>
      <c r="D66" s="15"/>
      <c r="E66" s="15"/>
    </row>
    <row r="67" spans="1:5" ht="13.5" thickBot="1">
      <c r="A67" s="62" t="s">
        <v>166</v>
      </c>
      <c r="B67" s="6" t="s">
        <v>66</v>
      </c>
      <c r="C67" s="41">
        <v>858.87</v>
      </c>
      <c r="D67" s="15"/>
      <c r="E67" s="15"/>
    </row>
    <row r="68" spans="1:5" ht="12.75">
      <c r="A68" s="60" t="s">
        <v>328</v>
      </c>
      <c r="B68" s="39" t="s">
        <v>343</v>
      </c>
      <c r="C68" s="47">
        <v>10863.64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2673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123.11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108817.45437274476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C37</f>
        <v>68545.9755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4663.087546900723</v>
      </c>
      <c r="D74" s="375" t="s">
        <v>68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5064.804023543665</v>
      </c>
      <c r="D75" s="377" t="s">
        <v>69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10281.754670654325</v>
      </c>
      <c r="D76" s="379" t="s">
        <v>70</v>
      </c>
      <c r="E76" s="380"/>
    </row>
    <row r="77" spans="1:5" ht="25.5">
      <c r="A77" s="73" t="s">
        <v>166</v>
      </c>
      <c r="B77" s="72" t="s">
        <v>231</v>
      </c>
      <c r="C77" s="318">
        <f>845684.35/242356.05*D61</f>
        <v>7512.741710182189</v>
      </c>
      <c r="D77" s="381" t="s">
        <v>71</v>
      </c>
      <c r="E77" s="382"/>
    </row>
    <row r="78" spans="1:5" ht="12.75">
      <c r="A78" s="73" t="s">
        <v>166</v>
      </c>
      <c r="B78" s="74" t="s">
        <v>808</v>
      </c>
      <c r="C78" s="318">
        <f>642562.44/242356.05*D61</f>
        <v>5708.283054291403</v>
      </c>
      <c r="D78" s="371" t="s">
        <v>72</v>
      </c>
      <c r="E78" s="372"/>
    </row>
    <row r="79" spans="1:5" ht="12.75">
      <c r="A79" s="73" t="s">
        <v>166</v>
      </c>
      <c r="B79" s="74" t="s">
        <v>826</v>
      </c>
      <c r="C79" s="318">
        <f>51615/196822.43*D61</f>
        <v>564.6058480225043</v>
      </c>
      <c r="D79" s="371" t="s">
        <v>73</v>
      </c>
      <c r="E79" s="372"/>
    </row>
    <row r="80" spans="1:5" ht="12.75">
      <c r="A80" s="73" t="s">
        <v>166</v>
      </c>
      <c r="B80" s="74" t="s">
        <v>655</v>
      </c>
      <c r="C80" s="318">
        <f>129011.28/196822.43*D61</f>
        <v>1411.2278048797589</v>
      </c>
      <c r="D80" s="371" t="s">
        <v>74</v>
      </c>
      <c r="E80" s="372"/>
    </row>
    <row r="81" spans="1:5" ht="12.75">
      <c r="A81" s="73" t="s">
        <v>166</v>
      </c>
      <c r="B81" s="74" t="s">
        <v>656</v>
      </c>
      <c r="C81" s="318">
        <f>164128/196822.43*D61</f>
        <v>1795.3623679984034</v>
      </c>
      <c r="D81" s="373" t="s">
        <v>75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298900.58/196822.43*D61</f>
        <v>3269.6118462717895</v>
      </c>
      <c r="D82" s="369" t="s">
        <v>76</v>
      </c>
      <c r="E82" s="370"/>
    </row>
    <row r="83" ht="13.5" thickBot="1"/>
    <row r="84" spans="2:5" ht="26.25" thickBot="1">
      <c r="B84" s="143"/>
      <c r="C84" s="205" t="s">
        <v>104</v>
      </c>
      <c r="D84" s="236" t="s">
        <v>306</v>
      </c>
      <c r="E84" s="130" t="s">
        <v>305</v>
      </c>
    </row>
    <row r="85" spans="2:5" ht="13.5" thickBot="1">
      <c r="B85" s="363" t="s">
        <v>331</v>
      </c>
      <c r="C85" s="364"/>
      <c r="D85" s="364"/>
      <c r="E85" s="365"/>
    </row>
    <row r="86" spans="2:5" ht="12.75">
      <c r="B86" s="140" t="s">
        <v>285</v>
      </c>
      <c r="C86" s="234">
        <v>210179.59</v>
      </c>
      <c r="D86" s="218">
        <v>263386.41</v>
      </c>
      <c r="E86" s="44">
        <f>D86-C86</f>
        <v>53206.81999999998</v>
      </c>
    </row>
    <row r="87" spans="2:5" ht="12.75">
      <c r="B87" s="115" t="s">
        <v>637</v>
      </c>
      <c r="C87" s="10">
        <v>74514.89</v>
      </c>
      <c r="D87" s="99">
        <v>92382.62</v>
      </c>
      <c r="E87" s="45">
        <f>D87-C87</f>
        <v>17867.729999999996</v>
      </c>
    </row>
    <row r="88" spans="2:5" ht="13.5" thickBot="1">
      <c r="B88" s="157" t="s">
        <v>394</v>
      </c>
      <c r="C88" s="225">
        <v>64329</v>
      </c>
      <c r="D88" s="227">
        <v>64329</v>
      </c>
      <c r="E88" s="46">
        <f>D88-C88</f>
        <v>0</v>
      </c>
    </row>
    <row r="89" spans="2:5" ht="13.5" thickBot="1">
      <c r="B89" s="124"/>
      <c r="C89" s="252">
        <f>SUM(C86:C88)</f>
        <v>349023.48</v>
      </c>
      <c r="D89" s="252">
        <f>SUM(D86:D88)</f>
        <v>420098.02999999997</v>
      </c>
      <c r="E89" s="119">
        <f>SUM(E86:E88)</f>
        <v>71074.54999999997</v>
      </c>
    </row>
    <row r="90" spans="2:5" ht="13.5" thickBot="1">
      <c r="B90" s="363" t="s">
        <v>330</v>
      </c>
      <c r="C90" s="364"/>
      <c r="D90" s="364"/>
      <c r="E90" s="365"/>
    </row>
    <row r="91" spans="2:5" ht="12.75">
      <c r="B91" s="140" t="s">
        <v>285</v>
      </c>
      <c r="C91" s="234">
        <v>261874.03</v>
      </c>
      <c r="D91" s="218">
        <v>272197.61</v>
      </c>
      <c r="E91" s="253">
        <f>D91-C91</f>
        <v>10323.579999999987</v>
      </c>
    </row>
    <row r="92" spans="2:5" ht="12.75">
      <c r="B92" s="115" t="s">
        <v>637</v>
      </c>
      <c r="C92" s="10">
        <v>88963.22</v>
      </c>
      <c r="D92" s="99">
        <v>92454.22</v>
      </c>
      <c r="E92" s="53">
        <f>D92-C92</f>
        <v>3491</v>
      </c>
    </row>
    <row r="93" spans="2:5" ht="12.75">
      <c r="B93" s="220" t="s">
        <v>113</v>
      </c>
      <c r="C93" s="125">
        <v>2667.57</v>
      </c>
      <c r="D93" s="125">
        <v>2886</v>
      </c>
      <c r="E93" s="81">
        <f>D93-C93</f>
        <v>218.42999999999984</v>
      </c>
    </row>
    <row r="94" spans="2:5" ht="13.5" thickBot="1">
      <c r="B94" s="156" t="s">
        <v>364</v>
      </c>
      <c r="C94" s="225">
        <v>25751.39</v>
      </c>
      <c r="D94" s="235">
        <v>28149.96</v>
      </c>
      <c r="E94" s="85">
        <f>D94-C94</f>
        <v>2398.5699999999997</v>
      </c>
    </row>
    <row r="95" spans="2:5" ht="13.5" thickBot="1">
      <c r="B95" s="187"/>
      <c r="C95" s="254">
        <f>SUM(C91:C94)</f>
        <v>379256.21</v>
      </c>
      <c r="D95" s="255">
        <f>SUM(D91:D94)</f>
        <v>395687.79</v>
      </c>
      <c r="E95" s="256">
        <f>SUM(E91:E94)</f>
        <v>16431.579999999987</v>
      </c>
    </row>
    <row r="96" spans="2:5" ht="13.5" thickBot="1">
      <c r="B96" s="418" t="s">
        <v>639</v>
      </c>
      <c r="C96" s="419"/>
      <c r="D96" s="419"/>
      <c r="E96" s="420"/>
    </row>
    <row r="97" spans="2:5" ht="12.75">
      <c r="B97" s="140" t="s">
        <v>285</v>
      </c>
      <c r="C97" s="234">
        <v>276082.26</v>
      </c>
      <c r="D97" s="218">
        <v>278172.72</v>
      </c>
      <c r="E97" s="253">
        <f>D97-C97</f>
        <v>2090.4599999999627</v>
      </c>
    </row>
    <row r="98" spans="2:5" ht="12.75">
      <c r="B98" s="115" t="s">
        <v>637</v>
      </c>
      <c r="C98" s="10">
        <v>93667.67</v>
      </c>
      <c r="D98" s="99">
        <v>94503.81</v>
      </c>
      <c r="E98" s="53">
        <f>D98-C98</f>
        <v>836.1399999999994</v>
      </c>
    </row>
    <row r="99" spans="2:5" ht="12.75">
      <c r="B99" s="220" t="s">
        <v>113</v>
      </c>
      <c r="C99" s="125">
        <v>49100</v>
      </c>
      <c r="D99" s="125">
        <v>54200.4</v>
      </c>
      <c r="E99" s="81">
        <f>D99-C99</f>
        <v>5100.4000000000015</v>
      </c>
    </row>
    <row r="100" spans="2:5" ht="12.75">
      <c r="B100" s="278" t="s">
        <v>364</v>
      </c>
      <c r="C100" s="67">
        <v>28073.64</v>
      </c>
      <c r="D100" s="101">
        <v>28760.62</v>
      </c>
      <c r="E100" s="81">
        <f>D100-C100</f>
        <v>686.9799999999996</v>
      </c>
    </row>
    <row r="101" spans="2:5" ht="13.5" thickBot="1">
      <c r="B101" s="116" t="s">
        <v>1200</v>
      </c>
      <c r="C101" s="258">
        <v>1393.29</v>
      </c>
      <c r="D101" s="258">
        <v>1393.29</v>
      </c>
      <c r="E101" s="104">
        <f>D101-C101</f>
        <v>0</v>
      </c>
    </row>
    <row r="102" spans="2:5" ht="13.5" thickBot="1">
      <c r="B102" s="338"/>
      <c r="C102" s="135">
        <f>SUM(C97:C101)</f>
        <v>448316.86</v>
      </c>
      <c r="D102" s="135">
        <f>SUM(D97:D101)</f>
        <v>457030.83999999997</v>
      </c>
      <c r="E102" s="210">
        <f>SUM(E97:E101)</f>
        <v>8713.979999999963</v>
      </c>
    </row>
    <row r="103" spans="2:5" ht="13.5" thickBot="1">
      <c r="B103" s="418" t="s">
        <v>639</v>
      </c>
      <c r="C103" s="419"/>
      <c r="D103" s="419"/>
      <c r="E103" s="420"/>
    </row>
    <row r="104" spans="2:5" ht="12.75">
      <c r="B104" s="140" t="s">
        <v>285</v>
      </c>
      <c r="C104" s="234">
        <v>235901.9</v>
      </c>
      <c r="D104" s="218">
        <v>252232.79</v>
      </c>
      <c r="E104" s="253">
        <f>D104-C104</f>
        <v>16330.890000000014</v>
      </c>
    </row>
    <row r="105" spans="2:5" ht="12.75">
      <c r="B105" s="115" t="s">
        <v>637</v>
      </c>
      <c r="C105" s="10">
        <v>81320.14</v>
      </c>
      <c r="D105" s="99">
        <v>97197.8</v>
      </c>
      <c r="E105" s="53">
        <f>D105-C105</f>
        <v>15877.660000000003</v>
      </c>
    </row>
    <row r="106" spans="2:5" ht="12.75">
      <c r="B106" s="115" t="s">
        <v>415</v>
      </c>
      <c r="C106" s="10">
        <v>5613.43</v>
      </c>
      <c r="D106" s="99">
        <v>4189.49</v>
      </c>
      <c r="E106" s="53">
        <f>D106-C106</f>
        <v>-1423.9400000000005</v>
      </c>
    </row>
    <row r="107" spans="2:5" ht="12.75">
      <c r="B107" s="116" t="s">
        <v>364</v>
      </c>
      <c r="C107" s="258">
        <v>24699.47</v>
      </c>
      <c r="D107" s="258">
        <v>26482.2</v>
      </c>
      <c r="E107" s="53">
        <f>D107-C107</f>
        <v>1782.7299999999996</v>
      </c>
    </row>
    <row r="108" spans="2:5" ht="13.5" thickBot="1">
      <c r="B108" s="156" t="s">
        <v>792</v>
      </c>
      <c r="C108" s="142">
        <v>900</v>
      </c>
      <c r="D108" s="142">
        <v>1400</v>
      </c>
      <c r="E108" s="85">
        <f>D108-C108</f>
        <v>500</v>
      </c>
    </row>
    <row r="109" spans="2:5" ht="13.5" thickBot="1">
      <c r="B109" s="338"/>
      <c r="C109" s="135">
        <f>SUM(C104:C108)</f>
        <v>348434.93999999994</v>
      </c>
      <c r="D109" s="135">
        <f>SUM(D104:D108)</f>
        <v>381502.28</v>
      </c>
      <c r="E109" s="210">
        <f>SUM(E104:E108)</f>
        <v>33067.34000000001</v>
      </c>
    </row>
    <row r="110" spans="2:5" ht="13.5" thickBot="1">
      <c r="B110" s="418" t="s">
        <v>77</v>
      </c>
      <c r="C110" s="419"/>
      <c r="D110" s="419"/>
      <c r="E110" s="420"/>
    </row>
    <row r="111" spans="2:5" ht="12.75">
      <c r="B111" s="140" t="s">
        <v>285</v>
      </c>
      <c r="C111" s="141">
        <v>306990.06</v>
      </c>
      <c r="D111" s="155">
        <v>323451.52</v>
      </c>
      <c r="E111" s="253">
        <f>D111-C111</f>
        <v>16461.46000000002</v>
      </c>
    </row>
    <row r="112" spans="2:5" ht="12.75">
      <c r="B112" s="115" t="s">
        <v>637</v>
      </c>
      <c r="C112" s="5">
        <v>105045.3</v>
      </c>
      <c r="D112" s="34">
        <v>110576.78</v>
      </c>
      <c r="E112" s="53">
        <f>D112-C112</f>
        <v>5531.479999999996</v>
      </c>
    </row>
    <row r="113" spans="2:5" ht="12.75">
      <c r="B113" s="116" t="s">
        <v>364</v>
      </c>
      <c r="C113" s="65">
        <v>31402.12</v>
      </c>
      <c r="D113" s="70">
        <v>31660.32</v>
      </c>
      <c r="E113" s="53">
        <f>D113-C113</f>
        <v>258.2000000000007</v>
      </c>
    </row>
    <row r="114" spans="2:5" ht="12.75">
      <c r="B114" s="116" t="s">
        <v>29</v>
      </c>
      <c r="C114" s="94">
        <f>2400+3600+3600</f>
        <v>9600</v>
      </c>
      <c r="D114" s="83">
        <f>2400+3300+3600</f>
        <v>9300</v>
      </c>
      <c r="E114" s="53">
        <f>D114-C114</f>
        <v>-300</v>
      </c>
    </row>
    <row r="115" spans="2:5" ht="13.5" thickBot="1">
      <c r="B115" s="266" t="s">
        <v>415</v>
      </c>
      <c r="C115" s="229">
        <v>2935.69</v>
      </c>
      <c r="D115" s="229">
        <v>1575.4</v>
      </c>
      <c r="E115" s="262">
        <f>D115-C115</f>
        <v>-1360.29</v>
      </c>
    </row>
    <row r="116" spans="2:5" ht="13.5" thickBot="1">
      <c r="B116" s="338"/>
      <c r="C116" s="135">
        <f>SUM(C111:C115)</f>
        <v>455973.17</v>
      </c>
      <c r="D116" s="135">
        <f>SUM(D111:D115)</f>
        <v>476564.0200000001</v>
      </c>
      <c r="E116" s="210">
        <f>SUM(E111:E115)</f>
        <v>20590.850000000017</v>
      </c>
    </row>
    <row r="117" spans="2:5" ht="13.5" thickBot="1">
      <c r="B117" s="428" t="s">
        <v>379</v>
      </c>
      <c r="C117" s="429"/>
      <c r="D117" s="429"/>
      <c r="E117" s="430"/>
    </row>
    <row r="118" spans="2:5" ht="13.5" thickBot="1">
      <c r="B118" s="153"/>
      <c r="C118" s="117">
        <f>C89+C95+C102+C109+C116</f>
        <v>1981004.6599999997</v>
      </c>
      <c r="D118" s="117">
        <f>D89+D95+D102+D109+D116</f>
        <v>2130882.96</v>
      </c>
      <c r="E118" s="117">
        <f>E89+E95+E102+E109+E116</f>
        <v>149878.29999999996</v>
      </c>
    </row>
  </sheetData>
  <sheetProtection/>
  <mergeCells count="23">
    <mergeCell ref="A6:E6"/>
    <mergeCell ref="A18:D18"/>
    <mergeCell ref="A19:D19"/>
    <mergeCell ref="D23:E23"/>
    <mergeCell ref="A2:B2"/>
    <mergeCell ref="C2:E2"/>
    <mergeCell ref="C3:E3"/>
    <mergeCell ref="B4:E4"/>
    <mergeCell ref="D78:E78"/>
    <mergeCell ref="D79:E79"/>
    <mergeCell ref="D80:E80"/>
    <mergeCell ref="D81:E81"/>
    <mergeCell ref="D74:E74"/>
    <mergeCell ref="D75:E75"/>
    <mergeCell ref="D76:E76"/>
    <mergeCell ref="D77:E77"/>
    <mergeCell ref="B103:E103"/>
    <mergeCell ref="B117:E117"/>
    <mergeCell ref="B110:E110"/>
    <mergeCell ref="D82:E82"/>
    <mergeCell ref="B85:E85"/>
    <mergeCell ref="B90:E90"/>
    <mergeCell ref="B96:E96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6.75390625" style="0" customWidth="1"/>
    <col min="3" max="3" width="10.25390625" style="0" customWidth="1"/>
    <col min="4" max="4" width="12.125" style="0" customWidth="1"/>
    <col min="5" max="5" width="13.2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0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407</v>
      </c>
      <c r="C7" s="26"/>
      <c r="D7" s="24"/>
    </row>
    <row r="8" spans="1:4" ht="15">
      <c r="A8" s="26"/>
      <c r="B8" s="27" t="s">
        <v>115</v>
      </c>
      <c r="C8" s="38">
        <v>2794.1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309935.01</v>
      </c>
      <c r="D11" s="155">
        <f>328438.93-84.27</f>
        <v>328354.66</v>
      </c>
      <c r="E11" s="242">
        <f aca="true" t="shared" si="0" ref="E11:E16">D11-C11</f>
        <v>18419.649999999965</v>
      </c>
    </row>
    <row r="12" spans="1:5" ht="12.75">
      <c r="A12" s="84">
        <v>2</v>
      </c>
      <c r="B12" s="5" t="s">
        <v>637</v>
      </c>
      <c r="C12" s="10">
        <v>152114.38</v>
      </c>
      <c r="D12" s="34">
        <v>162448.92</v>
      </c>
      <c r="E12" s="57">
        <f t="shared" si="0"/>
        <v>10334.540000000008</v>
      </c>
    </row>
    <row r="13" spans="1:5" ht="12.75">
      <c r="A13" s="87">
        <v>3</v>
      </c>
      <c r="B13" s="5" t="s">
        <v>633</v>
      </c>
      <c r="C13" s="67">
        <v>32106.2</v>
      </c>
      <c r="D13" s="83">
        <v>32594.4</v>
      </c>
      <c r="E13" s="57">
        <f t="shared" si="0"/>
        <v>488.2000000000007</v>
      </c>
    </row>
    <row r="14" spans="1:5" ht="12.75">
      <c r="A14" s="84">
        <v>4</v>
      </c>
      <c r="B14" s="65" t="s">
        <v>364</v>
      </c>
      <c r="C14" s="94">
        <v>42773.05</v>
      </c>
      <c r="D14" s="83">
        <v>39976.29</v>
      </c>
      <c r="E14" s="57">
        <f t="shared" si="0"/>
        <v>-2796.760000000002</v>
      </c>
    </row>
    <row r="15" spans="1:5" ht="12.75" customHeight="1">
      <c r="A15" s="87">
        <v>5</v>
      </c>
      <c r="B15" s="351" t="s">
        <v>1007</v>
      </c>
      <c r="C15" s="258">
        <v>8308.18</v>
      </c>
      <c r="D15" s="258">
        <v>8308.18</v>
      </c>
      <c r="E15" s="66">
        <f t="shared" si="0"/>
        <v>0</v>
      </c>
    </row>
    <row r="16" spans="1:5" ht="13.5" thickBot="1">
      <c r="A16" s="84">
        <v>6</v>
      </c>
      <c r="B16" s="65" t="s">
        <v>29</v>
      </c>
      <c r="C16" s="94">
        <f>2400+3600+600</f>
        <v>6600</v>
      </c>
      <c r="D16" s="83">
        <f>2400+3300+600</f>
        <v>6300</v>
      </c>
      <c r="E16" s="57">
        <f t="shared" si="0"/>
        <v>-300</v>
      </c>
    </row>
    <row r="17" spans="1:5" ht="13.5" thickBot="1">
      <c r="A17" s="208"/>
      <c r="B17" s="209"/>
      <c r="C17" s="135">
        <f>SUM(C11:C16)</f>
        <v>551836.8200000001</v>
      </c>
      <c r="D17" s="135">
        <f>SUM(D11:D16)</f>
        <v>577982.4500000001</v>
      </c>
      <c r="E17" s="136">
        <f>SUM(E11:E16)</f>
        <v>26145.629999999972</v>
      </c>
    </row>
    <row r="18" spans="1:5" ht="12.75">
      <c r="A18" s="385" t="s">
        <v>793</v>
      </c>
      <c r="B18" s="386"/>
      <c r="C18" s="386"/>
      <c r="D18" s="386"/>
      <c r="E18" s="108">
        <f>E135</f>
        <v>128412.19999999995</v>
      </c>
    </row>
    <row r="19" spans="1:5" ht="12.75">
      <c r="A19" s="387" t="s">
        <v>794</v>
      </c>
      <c r="B19" s="384"/>
      <c r="C19" s="384"/>
      <c r="D19" s="384"/>
      <c r="E19" s="22">
        <v>203383.81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12.75">
      <c r="A22" s="86">
        <v>1</v>
      </c>
      <c r="B22" s="64" t="s">
        <v>368</v>
      </c>
      <c r="C22" s="80">
        <f>C58</f>
        <v>163174.08</v>
      </c>
      <c r="E22" s="29"/>
    </row>
    <row r="23" spans="1:5" ht="12.75">
      <c r="A23" s="91">
        <v>2</v>
      </c>
      <c r="B23" s="25" t="s">
        <v>344</v>
      </c>
      <c r="C23" s="102">
        <f>C65</f>
        <v>10710.25</v>
      </c>
      <c r="D23" s="388"/>
      <c r="E23" s="389"/>
    </row>
    <row r="24" spans="1:5" ht="12.75">
      <c r="A24" s="84">
        <v>3</v>
      </c>
      <c r="B24" s="9" t="s">
        <v>649</v>
      </c>
      <c r="C24" s="48">
        <v>13072.41</v>
      </c>
      <c r="E24" s="29"/>
    </row>
    <row r="25" spans="1:5" ht="12.75">
      <c r="A25" s="84">
        <v>4</v>
      </c>
      <c r="B25" s="9" t="s">
        <v>122</v>
      </c>
      <c r="C25" s="48">
        <f>(C8*0.55*12)</f>
        <v>18441.06</v>
      </c>
      <c r="E25" s="29"/>
    </row>
    <row r="26" spans="1:5" ht="12.75">
      <c r="A26" s="84">
        <v>5</v>
      </c>
      <c r="B26" s="9" t="s">
        <v>658</v>
      </c>
      <c r="C26" s="79">
        <v>49576.8</v>
      </c>
      <c r="E26" s="29"/>
    </row>
    <row r="27" spans="1:5" ht="25.5">
      <c r="A27" s="91">
        <v>6</v>
      </c>
      <c r="B27" s="25" t="s">
        <v>753</v>
      </c>
      <c r="C27" s="96">
        <v>40000</v>
      </c>
      <c r="E27" s="29"/>
    </row>
    <row r="28" spans="1:5" ht="25.5">
      <c r="A28" s="91">
        <v>7</v>
      </c>
      <c r="B28" s="25" t="s">
        <v>1128</v>
      </c>
      <c r="C28" s="96">
        <v>2400</v>
      </c>
      <c r="E28" s="29"/>
    </row>
    <row r="29" spans="1:5" ht="12.75">
      <c r="A29" s="91">
        <v>8</v>
      </c>
      <c r="B29" s="346" t="s">
        <v>26</v>
      </c>
      <c r="C29" s="96">
        <v>600</v>
      </c>
      <c r="E29" s="29"/>
    </row>
    <row r="30" spans="1:5" ht="25.5">
      <c r="A30" s="91">
        <v>9</v>
      </c>
      <c r="B30" s="25" t="s">
        <v>335</v>
      </c>
      <c r="C30" s="96">
        <v>4200</v>
      </c>
      <c r="E30" s="29"/>
    </row>
    <row r="31" spans="1:3" ht="12.75">
      <c r="A31" s="50"/>
      <c r="B31" s="20" t="s">
        <v>629</v>
      </c>
      <c r="C31" s="51">
        <f>SUM(C22:C30)</f>
        <v>302174.6</v>
      </c>
    </row>
    <row r="32" spans="1:3" ht="12.75">
      <c r="A32" s="49"/>
      <c r="B32" s="8" t="s">
        <v>965</v>
      </c>
      <c r="C32" s="45"/>
    </row>
    <row r="33" spans="1:3" ht="12.75">
      <c r="A33" s="84">
        <v>1</v>
      </c>
      <c r="B33" s="9" t="s">
        <v>228</v>
      </c>
      <c r="C33" s="48">
        <f>(C17)*15%</f>
        <v>82775.523</v>
      </c>
    </row>
    <row r="34" spans="1:3" ht="12.75">
      <c r="A34" s="84">
        <v>2</v>
      </c>
      <c r="B34" s="9" t="s">
        <v>813</v>
      </c>
      <c r="C34" s="48">
        <f>C71</f>
        <v>6051.617703109759</v>
      </c>
    </row>
    <row r="35" spans="1:3" ht="12.75">
      <c r="A35" s="84">
        <v>3</v>
      </c>
      <c r="B35" s="9" t="s">
        <v>653</v>
      </c>
      <c r="C35" s="48">
        <f>C72</f>
        <v>6572.9535170382505</v>
      </c>
    </row>
    <row r="36" spans="1:3" ht="12.75">
      <c r="A36" s="84">
        <v>4</v>
      </c>
      <c r="B36" s="9" t="s">
        <v>1114</v>
      </c>
      <c r="C36" s="52">
        <f>C73</f>
        <v>-113918.22155816291</v>
      </c>
    </row>
    <row r="37" spans="1:3" ht="12.75">
      <c r="A37" s="84">
        <v>5</v>
      </c>
      <c r="B37" s="9" t="s">
        <v>162</v>
      </c>
      <c r="C37" s="52">
        <f>C74</f>
        <v>8563.654961644243</v>
      </c>
    </row>
    <row r="38" spans="1:3" ht="12.75">
      <c r="A38" s="84">
        <v>6</v>
      </c>
      <c r="B38" s="9" t="s">
        <v>1051</v>
      </c>
      <c r="C38" s="48">
        <f>C75+C77+C78+C79+C76</f>
        <v>16545.394771789208</v>
      </c>
    </row>
    <row r="39" spans="1:3" ht="12.75">
      <c r="A39" s="49"/>
      <c r="B39" s="74" t="s">
        <v>809</v>
      </c>
      <c r="C39" s="53"/>
    </row>
    <row r="40" spans="1:3" ht="12.75">
      <c r="A40" s="49"/>
      <c r="B40" s="5" t="s">
        <v>655</v>
      </c>
      <c r="C40" s="53"/>
    </row>
    <row r="41" spans="1:3" ht="12.75">
      <c r="A41" s="49"/>
      <c r="B41" s="74" t="s">
        <v>656</v>
      </c>
      <c r="C41" s="53"/>
    </row>
    <row r="42" spans="1:3" ht="12.75">
      <c r="A42" s="49"/>
      <c r="B42" s="74" t="s">
        <v>808</v>
      </c>
      <c r="C42" s="53"/>
    </row>
    <row r="43" spans="1:3" ht="12.75">
      <c r="A43" s="50"/>
      <c r="B43" s="20" t="s">
        <v>629</v>
      </c>
      <c r="C43" s="51">
        <f>C33+C34+C35+C36+C37+C38</f>
        <v>6590.922395418544</v>
      </c>
    </row>
    <row r="44" spans="1:3" ht="12.75">
      <c r="A44" s="49"/>
      <c r="B44" s="7" t="s">
        <v>966</v>
      </c>
      <c r="C44" s="45"/>
    </row>
    <row r="45" spans="1:3" ht="12.75">
      <c r="A45" s="84">
        <v>1</v>
      </c>
      <c r="B45" s="9" t="s">
        <v>631</v>
      </c>
      <c r="C45" s="48">
        <f>C17*2%</f>
        <v>11036.736400000002</v>
      </c>
    </row>
    <row r="46" spans="1:3" ht="12.75">
      <c r="A46" s="84">
        <v>2</v>
      </c>
      <c r="B46" s="9" t="s">
        <v>391</v>
      </c>
      <c r="C46" s="48">
        <f>C47</f>
        <v>32448.005016</v>
      </c>
    </row>
    <row r="47" spans="1:4" ht="12.75">
      <c r="A47" s="49"/>
      <c r="B47" s="5" t="s">
        <v>334</v>
      </c>
      <c r="C47" s="41">
        <f>(C17-C45)*6%</f>
        <v>32448.005016</v>
      </c>
      <c r="D47" s="19"/>
    </row>
    <row r="48" spans="1:3" ht="13.5" thickBot="1">
      <c r="A48" s="54"/>
      <c r="B48" s="55" t="s">
        <v>967</v>
      </c>
      <c r="C48" s="56">
        <f>C45+C46</f>
        <v>43484.741416000004</v>
      </c>
    </row>
    <row r="49" spans="1:3" ht="12.75">
      <c r="A49" s="23"/>
      <c r="B49" s="4" t="s">
        <v>288</v>
      </c>
      <c r="C49" s="11">
        <f>C31+C43+C48</f>
        <v>352250.2638114185</v>
      </c>
    </row>
    <row r="50" spans="1:3" ht="12.75">
      <c r="A50" s="23"/>
      <c r="B50" s="77"/>
      <c r="C50" s="1"/>
    </row>
    <row r="51" spans="1:3" ht="15">
      <c r="A51" s="23"/>
      <c r="B51" s="14" t="s">
        <v>812</v>
      </c>
      <c r="C51" s="1">
        <v>214020.18</v>
      </c>
    </row>
    <row r="52" spans="1:3" ht="15">
      <c r="A52" s="23"/>
      <c r="B52" s="14" t="s">
        <v>180</v>
      </c>
      <c r="C52" s="11">
        <f>C49+C51-C17</f>
        <v>14433.623811418423</v>
      </c>
    </row>
    <row r="53" ht="12.75">
      <c r="B53" s="1" t="s">
        <v>85</v>
      </c>
    </row>
    <row r="54" ht="15" customHeight="1">
      <c r="B54" s="1" t="s">
        <v>1197</v>
      </c>
    </row>
    <row r="55" spans="1:4" ht="12.75">
      <c r="A55" s="2"/>
      <c r="B55" s="2"/>
      <c r="C55" s="2" t="s">
        <v>790</v>
      </c>
      <c r="D55" s="2"/>
    </row>
    <row r="56" spans="1:4" ht="12.75">
      <c r="A56" s="2"/>
      <c r="B56" s="2"/>
      <c r="C56" s="2" t="s">
        <v>442</v>
      </c>
      <c r="D56" s="2"/>
    </row>
    <row r="57" spans="1:5" ht="13.5" thickBot="1">
      <c r="A57" s="37"/>
      <c r="B57" s="37" t="s">
        <v>969</v>
      </c>
      <c r="C57" s="32" t="s">
        <v>886</v>
      </c>
      <c r="D57" s="114">
        <f>C8</f>
        <v>2794.1</v>
      </c>
      <c r="E57" t="s">
        <v>116</v>
      </c>
    </row>
    <row r="58" spans="1:5" ht="12.75">
      <c r="A58" s="60" t="s">
        <v>218</v>
      </c>
      <c r="B58" s="39" t="s">
        <v>165</v>
      </c>
      <c r="C58" s="47">
        <v>163174.08</v>
      </c>
      <c r="D58" s="15"/>
      <c r="E58" s="21"/>
    </row>
    <row r="59" spans="1:5" ht="12.75">
      <c r="A59" s="61"/>
      <c r="B59" s="6" t="s">
        <v>118</v>
      </c>
      <c r="C59" s="41"/>
      <c r="D59" s="15"/>
      <c r="E59" s="21"/>
    </row>
    <row r="60" spans="1:5" ht="12.75">
      <c r="A60" s="62" t="s">
        <v>166</v>
      </c>
      <c r="B60" s="6" t="s">
        <v>380</v>
      </c>
      <c r="C60" s="41">
        <v>12236</v>
      </c>
      <c r="D60" s="15"/>
      <c r="E60" s="15"/>
    </row>
    <row r="61" spans="1:5" ht="12.75">
      <c r="A61" s="62" t="s">
        <v>166</v>
      </c>
      <c r="B61" s="6" t="s">
        <v>0</v>
      </c>
      <c r="C61" s="41">
        <v>26004.13</v>
      </c>
      <c r="D61" s="15"/>
      <c r="E61" s="15"/>
    </row>
    <row r="62" spans="1:5" ht="12.75">
      <c r="A62" s="62" t="s">
        <v>166</v>
      </c>
      <c r="B62" s="6" t="s">
        <v>754</v>
      </c>
      <c r="C62" s="41">
        <v>5200</v>
      </c>
      <c r="D62" s="15"/>
      <c r="E62" s="15"/>
    </row>
    <row r="63" spans="1:5" ht="12.75">
      <c r="A63" s="62" t="s">
        <v>166</v>
      </c>
      <c r="B63" s="6" t="s">
        <v>277</v>
      </c>
      <c r="C63" s="41">
        <v>2025</v>
      </c>
      <c r="D63" s="15"/>
      <c r="E63" s="15"/>
    </row>
    <row r="64" spans="1:5" ht="13.5" thickBot="1">
      <c r="A64" s="63" t="s">
        <v>166</v>
      </c>
      <c r="B64" s="42" t="s">
        <v>818</v>
      </c>
      <c r="C64" s="46">
        <v>2949.23</v>
      </c>
      <c r="D64" s="15"/>
      <c r="E64" s="15"/>
    </row>
    <row r="65" spans="1:5" ht="12.75">
      <c r="A65" s="60" t="s">
        <v>328</v>
      </c>
      <c r="B65" s="39" t="s">
        <v>343</v>
      </c>
      <c r="C65" s="47">
        <v>10710.25</v>
      </c>
      <c r="D65" s="15"/>
      <c r="E65" s="12"/>
    </row>
    <row r="66" spans="1:5" ht="12.75">
      <c r="A66" s="61"/>
      <c r="B66" s="6" t="s">
        <v>118</v>
      </c>
      <c r="C66" s="41"/>
      <c r="D66" s="15"/>
      <c r="E66" s="12"/>
    </row>
    <row r="67" spans="1:5" ht="12.75">
      <c r="A67" s="62" t="s">
        <v>166</v>
      </c>
      <c r="B67" s="6" t="s">
        <v>380</v>
      </c>
      <c r="C67" s="41">
        <v>353</v>
      </c>
      <c r="D67" s="15"/>
      <c r="E67" s="12"/>
    </row>
    <row r="68" spans="1:5" ht="13.5" thickBot="1">
      <c r="A68" s="63" t="s">
        <v>166</v>
      </c>
      <c r="B68" s="42" t="s">
        <v>818</v>
      </c>
      <c r="C68" s="46">
        <v>159.77</v>
      </c>
      <c r="D68" s="15"/>
      <c r="E68" s="15"/>
    </row>
    <row r="69" spans="1:5" ht="12.75">
      <c r="A69" s="300" t="s">
        <v>787</v>
      </c>
      <c r="B69" s="97" t="s">
        <v>1050</v>
      </c>
      <c r="C69" s="82">
        <f>C70+C71+C73+C72+C74+C75+C77+C78+C79+C76</f>
        <v>6590.922395418553</v>
      </c>
      <c r="D69" s="15"/>
      <c r="E69" s="12"/>
    </row>
    <row r="70" spans="1:5" ht="13.5" thickBot="1">
      <c r="A70" s="40" t="s">
        <v>166</v>
      </c>
      <c r="B70" s="6" t="s">
        <v>227</v>
      </c>
      <c r="C70" s="41">
        <f>C33</f>
        <v>82775.523</v>
      </c>
      <c r="D70" s="15"/>
      <c r="E70" s="12"/>
    </row>
    <row r="71" spans="1:5" ht="12.75">
      <c r="A71" s="40" t="s">
        <v>166</v>
      </c>
      <c r="B71" s="6" t="s">
        <v>370</v>
      </c>
      <c r="C71" s="317">
        <f>401410.25/185335.63*C8</f>
        <v>6051.617703109759</v>
      </c>
      <c r="D71" s="375" t="s">
        <v>1217</v>
      </c>
      <c r="E71" s="376"/>
    </row>
    <row r="72" spans="1:5" ht="12.75">
      <c r="A72" s="73" t="s">
        <v>166</v>
      </c>
      <c r="B72" s="74" t="s">
        <v>397</v>
      </c>
      <c r="C72" s="317">
        <f>435991.01/185335.63*C8</f>
        <v>6572.9535170382505</v>
      </c>
      <c r="D72" s="377" t="s">
        <v>1218</v>
      </c>
      <c r="E72" s="378"/>
    </row>
    <row r="73" spans="1:5" ht="12.75">
      <c r="A73" s="71" t="s">
        <v>166</v>
      </c>
      <c r="B73" s="72" t="s">
        <v>416</v>
      </c>
      <c r="C73" s="317">
        <f>1082167/226605.83*C8-127261.58</f>
        <v>-113918.22155816291</v>
      </c>
      <c r="D73" s="379" t="s">
        <v>1219</v>
      </c>
      <c r="E73" s="380"/>
    </row>
    <row r="74" spans="1:5" ht="25.5">
      <c r="A74" s="73" t="s">
        <v>166</v>
      </c>
      <c r="B74" s="72" t="s">
        <v>231</v>
      </c>
      <c r="C74" s="318">
        <f>845684.35/242356.05*D57-1186.16</f>
        <v>8563.654961644243</v>
      </c>
      <c r="D74" s="381" t="s">
        <v>747</v>
      </c>
      <c r="E74" s="382"/>
    </row>
    <row r="75" spans="1:5" ht="12.75">
      <c r="A75" s="73" t="s">
        <v>166</v>
      </c>
      <c r="B75" s="74" t="s">
        <v>808</v>
      </c>
      <c r="C75" s="318">
        <f>642562.44/242356.05*D57</f>
        <v>7408.041654433631</v>
      </c>
      <c r="D75" s="371" t="s">
        <v>748</v>
      </c>
      <c r="E75" s="372"/>
    </row>
    <row r="76" spans="1:5" ht="12.75">
      <c r="A76" s="73" t="s">
        <v>166</v>
      </c>
      <c r="B76" s="74" t="s">
        <v>826</v>
      </c>
      <c r="C76" s="318">
        <f>51615/196822.43*D57</f>
        <v>732.7288434554944</v>
      </c>
      <c r="D76" s="371" t="s">
        <v>749</v>
      </c>
      <c r="E76" s="372"/>
    </row>
    <row r="77" spans="1:5" ht="12.75">
      <c r="A77" s="73" t="s">
        <v>166</v>
      </c>
      <c r="B77" s="74" t="s">
        <v>655</v>
      </c>
      <c r="C77" s="318">
        <f>129011.28/196822.43*D57</f>
        <v>1831.4498883485992</v>
      </c>
      <c r="D77" s="371" t="s">
        <v>750</v>
      </c>
      <c r="E77" s="372"/>
    </row>
    <row r="78" spans="1:5" ht="12.75">
      <c r="A78" s="73" t="s">
        <v>166</v>
      </c>
      <c r="B78" s="74" t="s">
        <v>656</v>
      </c>
      <c r="C78" s="318">
        <f>164128/196822.43*D57</f>
        <v>2329.968412644839</v>
      </c>
      <c r="D78" s="373" t="s">
        <v>751</v>
      </c>
      <c r="E78" s="374"/>
    </row>
    <row r="79" spans="1:5" ht="13.5" thickBot="1">
      <c r="A79" s="75" t="s">
        <v>166</v>
      </c>
      <c r="B79" s="76" t="s">
        <v>809</v>
      </c>
      <c r="C79" s="319">
        <f>298900.58/196822.43*D57</f>
        <v>4243.205972906645</v>
      </c>
      <c r="D79" s="369" t="s">
        <v>752</v>
      </c>
      <c r="E79" s="370"/>
    </row>
    <row r="80" ht="13.5" thickBot="1"/>
    <row r="81" spans="2:5" ht="26.25" thickBot="1">
      <c r="B81" s="143"/>
      <c r="C81" s="205" t="s">
        <v>104</v>
      </c>
      <c r="D81" s="236" t="s">
        <v>306</v>
      </c>
      <c r="E81" s="130" t="s">
        <v>305</v>
      </c>
    </row>
    <row r="82" spans="2:5" ht="13.5" thickBot="1">
      <c r="B82" s="363" t="s">
        <v>289</v>
      </c>
      <c r="C82" s="364"/>
      <c r="D82" s="364"/>
      <c r="E82" s="365"/>
    </row>
    <row r="83" spans="2:5" ht="12.75">
      <c r="B83" s="140" t="s">
        <v>285</v>
      </c>
      <c r="C83" s="234">
        <v>297505.66</v>
      </c>
      <c r="D83" s="218">
        <v>307428</v>
      </c>
      <c r="E83" s="213">
        <f>D83-C83</f>
        <v>9922.340000000026</v>
      </c>
    </row>
    <row r="84" spans="2:5" ht="12.75">
      <c r="B84" s="115" t="s">
        <v>637</v>
      </c>
      <c r="C84" s="10">
        <v>100179.97</v>
      </c>
      <c r="D84" s="99">
        <v>103603.28</v>
      </c>
      <c r="E84" s="214">
        <f>D84-C84</f>
        <v>3423.3099999999977</v>
      </c>
    </row>
    <row r="85" spans="2:5" ht="13.5" thickBot="1">
      <c r="B85" s="157" t="s">
        <v>633</v>
      </c>
      <c r="C85" s="225">
        <v>1883.21</v>
      </c>
      <c r="D85" s="235">
        <v>1883.19</v>
      </c>
      <c r="E85" s="216">
        <f>D85-C85</f>
        <v>-0.01999999999998181</v>
      </c>
    </row>
    <row r="86" spans="2:5" ht="13.5" thickBot="1">
      <c r="B86" s="124"/>
      <c r="C86" s="118">
        <f>SUM(C83:C85)</f>
        <v>399568.84</v>
      </c>
      <c r="D86" s="118">
        <f>SUM(D83:D85)</f>
        <v>412914.47000000003</v>
      </c>
      <c r="E86" s="137">
        <f>SUM(E83:E85)</f>
        <v>13345.630000000023</v>
      </c>
    </row>
    <row r="87" spans="2:5" ht="13.5" thickBot="1">
      <c r="B87" s="393" t="s">
        <v>290</v>
      </c>
      <c r="C87" s="394"/>
      <c r="D87" s="394"/>
      <c r="E87" s="395"/>
    </row>
    <row r="88" spans="2:5" ht="12.75">
      <c r="B88" s="140" t="s">
        <v>285</v>
      </c>
      <c r="C88" s="234">
        <v>273734.9</v>
      </c>
      <c r="D88" s="218">
        <v>272475.15</v>
      </c>
      <c r="E88" s="213">
        <f>D88-C88</f>
        <v>-1259.75</v>
      </c>
    </row>
    <row r="89" spans="2:5" ht="12.75">
      <c r="B89" s="115" t="s">
        <v>637</v>
      </c>
      <c r="C89" s="10">
        <v>109158.86</v>
      </c>
      <c r="D89" s="99">
        <v>111570.8</v>
      </c>
      <c r="E89" s="214">
        <f>D89-C89</f>
        <v>2411.9400000000023</v>
      </c>
    </row>
    <row r="90" spans="2:5" ht="13.5" thickBot="1">
      <c r="B90" s="116" t="s">
        <v>633</v>
      </c>
      <c r="C90" s="67">
        <v>9927.04</v>
      </c>
      <c r="D90" s="101">
        <v>11320.9</v>
      </c>
      <c r="E90" s="221">
        <f>D90-C90</f>
        <v>1393.8599999999988</v>
      </c>
    </row>
    <row r="91" spans="2:5" ht="13.5" thickBot="1">
      <c r="B91" s="120"/>
      <c r="C91" s="257">
        <f>SUM(C88:C90)</f>
        <v>392820.8</v>
      </c>
      <c r="D91" s="257">
        <f>SUM(D88:D90)</f>
        <v>395366.85000000003</v>
      </c>
      <c r="E91" s="136">
        <f>SUM(E88:E90)</f>
        <v>2546.050000000001</v>
      </c>
    </row>
    <row r="92" spans="2:5" ht="13.5" thickBot="1">
      <c r="B92" s="363" t="s">
        <v>404</v>
      </c>
      <c r="C92" s="364"/>
      <c r="D92" s="364"/>
      <c r="E92" s="365"/>
    </row>
    <row r="93" spans="2:5" ht="12.75">
      <c r="B93" s="140" t="s">
        <v>285</v>
      </c>
      <c r="C93" s="223">
        <v>216805.69</v>
      </c>
      <c r="D93" s="223">
        <v>228217.35</v>
      </c>
      <c r="E93" s="213">
        <f>D93-C93</f>
        <v>11411.660000000003</v>
      </c>
    </row>
    <row r="94" spans="2:5" ht="12.75">
      <c r="B94" s="115" t="s">
        <v>637</v>
      </c>
      <c r="C94" s="28">
        <v>114902.18</v>
      </c>
      <c r="D94" s="18">
        <v>119849.73</v>
      </c>
      <c r="E94" s="214">
        <f>D94-C94</f>
        <v>4947.550000000003</v>
      </c>
    </row>
    <row r="95" spans="2:5" ht="13.5" thickBot="1">
      <c r="B95" s="157" t="s">
        <v>408</v>
      </c>
      <c r="C95" s="263">
        <v>19480.84</v>
      </c>
      <c r="D95" s="215">
        <v>20290.82</v>
      </c>
      <c r="E95" s="216">
        <f>D95-C95</f>
        <v>809.9799999999996</v>
      </c>
    </row>
    <row r="96" spans="2:5" ht="13.5" thickBot="1">
      <c r="B96" s="124"/>
      <c r="C96" s="252">
        <f>SUM(C93:C95)</f>
        <v>351188.71</v>
      </c>
      <c r="D96" s="252">
        <f>SUM(D93:D95)</f>
        <v>368357.9</v>
      </c>
      <c r="E96" s="137">
        <f>SUM(E93:E95)</f>
        <v>17169.190000000006</v>
      </c>
    </row>
    <row r="97" spans="2:5" ht="13.5" thickBot="1">
      <c r="B97" s="363" t="s">
        <v>405</v>
      </c>
      <c r="C97" s="364"/>
      <c r="D97" s="364"/>
      <c r="E97" s="365"/>
    </row>
    <row r="98" spans="2:5" ht="12.75">
      <c r="B98" s="140" t="s">
        <v>285</v>
      </c>
      <c r="C98" s="234">
        <v>273377.76</v>
      </c>
      <c r="D98" s="218">
        <v>275905.81</v>
      </c>
      <c r="E98" s="242">
        <f>D98-C98</f>
        <v>2528.0499999999884</v>
      </c>
    </row>
    <row r="99" spans="2:5" ht="12.75">
      <c r="B99" s="115" t="s">
        <v>637</v>
      </c>
      <c r="C99" s="10">
        <v>133040.29</v>
      </c>
      <c r="D99" s="99">
        <v>135438.58</v>
      </c>
      <c r="E99" s="57">
        <f>D99-C99</f>
        <v>2398.289999999979</v>
      </c>
    </row>
    <row r="100" spans="2:5" ht="12.75">
      <c r="B100" s="220" t="s">
        <v>633</v>
      </c>
      <c r="C100" s="125">
        <v>26921.66</v>
      </c>
      <c r="D100" s="125">
        <v>27111.89</v>
      </c>
      <c r="E100" s="128">
        <f>D100-C100</f>
        <v>190.22999999999956</v>
      </c>
    </row>
    <row r="101" spans="2:5" ht="13.5" thickBot="1">
      <c r="B101" s="157" t="s">
        <v>630</v>
      </c>
      <c r="C101" s="224">
        <v>1200</v>
      </c>
      <c r="D101" s="311">
        <v>1200</v>
      </c>
      <c r="E101" s="219">
        <f>D101-C101</f>
        <v>0</v>
      </c>
    </row>
    <row r="102" spans="2:5" ht="13.5" thickBot="1">
      <c r="B102" s="153"/>
      <c r="C102" s="152">
        <f>SUM(C98:C101)</f>
        <v>434539.71</v>
      </c>
      <c r="D102" s="152">
        <f>SUM(D98:D101)</f>
        <v>439656.28</v>
      </c>
      <c r="E102" s="158">
        <f>SUM(E98:E101)</f>
        <v>5116.569999999967</v>
      </c>
    </row>
    <row r="103" spans="2:5" ht="13.5" thickBot="1">
      <c r="B103" s="363" t="s">
        <v>639</v>
      </c>
      <c r="C103" s="364"/>
      <c r="D103" s="364"/>
      <c r="E103" s="422"/>
    </row>
    <row r="104" spans="2:5" ht="12.75">
      <c r="B104" s="140" t="s">
        <v>285</v>
      </c>
      <c r="C104" s="234">
        <v>271464.01</v>
      </c>
      <c r="D104" s="218">
        <v>284855.85</v>
      </c>
      <c r="E104" s="242">
        <f>D104-C104</f>
        <v>13391.839999999967</v>
      </c>
    </row>
    <row r="105" spans="2:5" ht="12.75">
      <c r="B105" s="115" t="s">
        <v>637</v>
      </c>
      <c r="C105" s="10">
        <v>134492.57</v>
      </c>
      <c r="D105" s="99">
        <v>139871.84</v>
      </c>
      <c r="E105" s="57">
        <f>D105-C105</f>
        <v>5379.2699999999895</v>
      </c>
    </row>
    <row r="106" spans="2:5" ht="12.75">
      <c r="B106" s="220" t="s">
        <v>633</v>
      </c>
      <c r="C106" s="125">
        <v>27503.5</v>
      </c>
      <c r="D106" s="125">
        <v>28052.52</v>
      </c>
      <c r="E106" s="128">
        <f>D106-C106</f>
        <v>549.0200000000004</v>
      </c>
    </row>
    <row r="107" spans="2:5" ht="12.75">
      <c r="B107" s="115" t="s">
        <v>630</v>
      </c>
      <c r="C107" s="112">
        <v>1200</v>
      </c>
      <c r="D107" s="35">
        <v>1200</v>
      </c>
      <c r="E107" s="128">
        <f>D107-C107</f>
        <v>0</v>
      </c>
    </row>
    <row r="108" spans="2:5" ht="13.5" thickBot="1">
      <c r="B108" s="157" t="s">
        <v>1200</v>
      </c>
      <c r="C108" s="142">
        <v>7195.1</v>
      </c>
      <c r="D108" s="142">
        <v>7195.1</v>
      </c>
      <c r="E108" s="219">
        <f>D108-C108</f>
        <v>0</v>
      </c>
    </row>
    <row r="109" spans="2:5" ht="13.5" thickBot="1">
      <c r="B109" s="324"/>
      <c r="C109" s="118">
        <f>SUM(C104:C108)</f>
        <v>441855.18</v>
      </c>
      <c r="D109" s="118">
        <f>SUM(D104:D108)</f>
        <v>461175.30999999994</v>
      </c>
      <c r="E109" s="348">
        <f>SUM(E104:E108)</f>
        <v>19320.129999999957</v>
      </c>
    </row>
    <row r="110" spans="2:5" ht="13.5" thickBot="1">
      <c r="B110" s="363" t="s">
        <v>443</v>
      </c>
      <c r="C110" s="364"/>
      <c r="D110" s="364"/>
      <c r="E110" s="365"/>
    </row>
    <row r="111" spans="2:5" ht="12.75">
      <c r="B111" s="140" t="s">
        <v>285</v>
      </c>
      <c r="C111" s="141">
        <v>238954.18</v>
      </c>
      <c r="D111" s="155">
        <v>233795.95</v>
      </c>
      <c r="E111" s="242">
        <f aca="true" t="shared" si="1" ref="E111:E116">D111-C111</f>
        <v>-5158.229999999981</v>
      </c>
    </row>
    <row r="112" spans="2:5" ht="12.75">
      <c r="B112" s="115" t="s">
        <v>637</v>
      </c>
      <c r="C112" s="5">
        <v>118237.32</v>
      </c>
      <c r="D112" s="33">
        <v>114903.24</v>
      </c>
      <c r="E112" s="57">
        <f t="shared" si="1"/>
        <v>-3334.0800000000017</v>
      </c>
    </row>
    <row r="113" spans="2:5" ht="12.75">
      <c r="B113" s="278" t="s">
        <v>792</v>
      </c>
      <c r="C113" s="122">
        <v>2100</v>
      </c>
      <c r="D113" s="122">
        <v>2600</v>
      </c>
      <c r="E113" s="128">
        <f t="shared" si="1"/>
        <v>500</v>
      </c>
    </row>
    <row r="114" spans="2:5" ht="12.75">
      <c r="B114" s="278" t="s">
        <v>364</v>
      </c>
      <c r="C114" s="122">
        <v>73919.91</v>
      </c>
      <c r="D114" s="122">
        <v>83317.15</v>
      </c>
      <c r="E114" s="128">
        <f t="shared" si="1"/>
        <v>9397.23999999999</v>
      </c>
    </row>
    <row r="115" spans="2:5" ht="12.75">
      <c r="B115" s="116" t="s">
        <v>630</v>
      </c>
      <c r="C115" s="106">
        <v>900</v>
      </c>
      <c r="D115" s="321">
        <v>900</v>
      </c>
      <c r="E115" s="66">
        <f t="shared" si="1"/>
        <v>0</v>
      </c>
    </row>
    <row r="116" spans="2:5" ht="13.5" thickBot="1">
      <c r="B116" s="157" t="s">
        <v>633</v>
      </c>
      <c r="C116" s="95">
        <v>20606.38</v>
      </c>
      <c r="D116" s="245">
        <v>20521.72</v>
      </c>
      <c r="E116" s="222">
        <f t="shared" si="1"/>
        <v>-84.65999999999985</v>
      </c>
    </row>
    <row r="117" spans="2:5" ht="13.5" thickBot="1">
      <c r="B117" s="187"/>
      <c r="C117" s="254">
        <f>SUM(C111:C116)</f>
        <v>454717.79000000004</v>
      </c>
      <c r="D117" s="255">
        <f>SUM(D111:D116)</f>
        <v>456038.05999999994</v>
      </c>
      <c r="E117" s="260">
        <f>SUM(E111:E116)</f>
        <v>1320.2700000000077</v>
      </c>
    </row>
    <row r="118" spans="2:5" ht="13.5" thickBot="1">
      <c r="B118" s="363" t="s">
        <v>171</v>
      </c>
      <c r="C118" s="364"/>
      <c r="D118" s="364"/>
      <c r="E118" s="365"/>
    </row>
    <row r="119" spans="2:5" ht="12.75">
      <c r="B119" s="140" t="s">
        <v>285</v>
      </c>
      <c r="C119" s="141">
        <v>126945.41</v>
      </c>
      <c r="D119" s="155">
        <v>154744.48</v>
      </c>
      <c r="E119" s="242">
        <f aca="true" t="shared" si="2" ref="E119:E124">D119-C119</f>
        <v>27799.070000000007</v>
      </c>
    </row>
    <row r="120" spans="2:5" ht="12.75">
      <c r="B120" s="115" t="s">
        <v>637</v>
      </c>
      <c r="C120" s="5">
        <v>62411.52</v>
      </c>
      <c r="D120" s="33">
        <v>76614.36</v>
      </c>
      <c r="E120" s="57">
        <f t="shared" si="2"/>
        <v>14202.840000000004</v>
      </c>
    </row>
    <row r="121" spans="2:5" ht="12.75">
      <c r="B121" s="278" t="s">
        <v>792</v>
      </c>
      <c r="C121" s="122">
        <v>3000</v>
      </c>
      <c r="D121" s="122">
        <v>2700</v>
      </c>
      <c r="E121" s="128">
        <f t="shared" si="2"/>
        <v>-300</v>
      </c>
    </row>
    <row r="122" spans="2:5" ht="12.75">
      <c r="B122" s="278" t="s">
        <v>364</v>
      </c>
      <c r="C122" s="122">
        <v>22370.06</v>
      </c>
      <c r="D122" s="122">
        <v>21702.45</v>
      </c>
      <c r="E122" s="128">
        <f t="shared" si="2"/>
        <v>-667.6100000000006</v>
      </c>
    </row>
    <row r="123" spans="2:5" ht="12.75">
      <c r="B123" s="116" t="s">
        <v>630</v>
      </c>
      <c r="C123" s="106">
        <v>300</v>
      </c>
      <c r="D123" s="321">
        <v>300</v>
      </c>
      <c r="E123" s="66">
        <f t="shared" si="2"/>
        <v>0</v>
      </c>
    </row>
    <row r="124" spans="2:5" ht="13.5" thickBot="1">
      <c r="B124" s="157" t="s">
        <v>633</v>
      </c>
      <c r="C124" s="229">
        <v>12977.37</v>
      </c>
      <c r="D124" s="229">
        <v>15391.8</v>
      </c>
      <c r="E124" s="222">
        <f t="shared" si="2"/>
        <v>2414.4299999999985</v>
      </c>
    </row>
    <row r="125" spans="2:5" ht="13.5" thickBot="1">
      <c r="B125" s="187"/>
      <c r="C125" s="254">
        <f>SUM(C119:C124)</f>
        <v>228004.36</v>
      </c>
      <c r="D125" s="255">
        <f>SUM(D119:D124)</f>
        <v>271453.09</v>
      </c>
      <c r="E125" s="260">
        <f>SUM(E119:E124)</f>
        <v>43448.73000000001</v>
      </c>
    </row>
    <row r="126" spans="2:5" ht="13.5" thickBot="1">
      <c r="B126" s="363" t="s">
        <v>87</v>
      </c>
      <c r="C126" s="364"/>
      <c r="D126" s="364"/>
      <c r="E126" s="365"/>
    </row>
    <row r="127" spans="2:5" ht="12.75">
      <c r="B127" s="140" t="s">
        <v>285</v>
      </c>
      <c r="C127" s="234">
        <v>309935.01</v>
      </c>
      <c r="D127" s="155">
        <f>328438.93-84.27</f>
        <v>328354.66</v>
      </c>
      <c r="E127" s="242">
        <f aca="true" t="shared" si="3" ref="E127:E132">D127-C127</f>
        <v>18419.649999999965</v>
      </c>
    </row>
    <row r="128" spans="2:5" ht="12.75">
      <c r="B128" s="115" t="s">
        <v>637</v>
      </c>
      <c r="C128" s="10">
        <v>152114.38</v>
      </c>
      <c r="D128" s="34">
        <v>162448.92</v>
      </c>
      <c r="E128" s="57">
        <f t="shared" si="3"/>
        <v>10334.540000000008</v>
      </c>
    </row>
    <row r="129" spans="2:5" ht="12.75">
      <c r="B129" s="115" t="s">
        <v>633</v>
      </c>
      <c r="C129" s="67">
        <v>32106.2</v>
      </c>
      <c r="D129" s="83">
        <v>32594.4</v>
      </c>
      <c r="E129" s="57">
        <f t="shared" si="3"/>
        <v>488.2000000000007</v>
      </c>
    </row>
    <row r="130" spans="2:5" ht="12.75">
      <c r="B130" s="116" t="s">
        <v>364</v>
      </c>
      <c r="C130" s="94">
        <v>42773.05</v>
      </c>
      <c r="D130" s="83">
        <v>39976.29</v>
      </c>
      <c r="E130" s="57">
        <f t="shared" si="3"/>
        <v>-2796.760000000002</v>
      </c>
    </row>
    <row r="131" spans="2:5" ht="12.75" customHeight="1">
      <c r="B131" s="352" t="s">
        <v>1007</v>
      </c>
      <c r="C131" s="258">
        <v>8308.18</v>
      </c>
      <c r="D131" s="258">
        <v>8308.18</v>
      </c>
      <c r="E131" s="57">
        <f t="shared" si="3"/>
        <v>0</v>
      </c>
    </row>
    <row r="132" spans="2:5" ht="13.5" thickBot="1">
      <c r="B132" s="157" t="s">
        <v>29</v>
      </c>
      <c r="C132" s="247">
        <f>2400+3600+600</f>
        <v>6600</v>
      </c>
      <c r="D132" s="226">
        <f>2400+3300+600</f>
        <v>6300</v>
      </c>
      <c r="E132" s="222">
        <f t="shared" si="3"/>
        <v>-300</v>
      </c>
    </row>
    <row r="133" spans="2:5" ht="13.5" thickBot="1">
      <c r="B133" s="153"/>
      <c r="C133" s="152">
        <f>SUM(C127:C132)</f>
        <v>551836.8200000001</v>
      </c>
      <c r="D133" s="138">
        <f>SUM(D127:D132)</f>
        <v>577982.4500000001</v>
      </c>
      <c r="E133" s="139">
        <f>SUM(E127:E132)</f>
        <v>26145.629999999972</v>
      </c>
    </row>
    <row r="134" spans="2:5" ht="13.5" thickBot="1">
      <c r="B134" s="366" t="s">
        <v>379</v>
      </c>
      <c r="C134" s="367"/>
      <c r="D134" s="367"/>
      <c r="E134" s="368"/>
    </row>
    <row r="135" spans="2:5" ht="13.5" thickBot="1">
      <c r="B135" s="153"/>
      <c r="C135" s="175">
        <f>C96+C102+C91+C86+C109+C117+C125+C133</f>
        <v>3254532.21</v>
      </c>
      <c r="D135" s="175">
        <f>D96+D102+D91+D86+D109+D117+D125+D133</f>
        <v>3382944.41</v>
      </c>
      <c r="E135" s="175">
        <f>E96+E102+E91+E86+E109+E117+E125+E133</f>
        <v>128412.19999999995</v>
      </c>
    </row>
  </sheetData>
  <sheetProtection/>
  <mergeCells count="26">
    <mergeCell ref="A2:B2"/>
    <mergeCell ref="C2:E2"/>
    <mergeCell ref="C3:E3"/>
    <mergeCell ref="B4:E4"/>
    <mergeCell ref="D71:E71"/>
    <mergeCell ref="D72:E72"/>
    <mergeCell ref="D73:E73"/>
    <mergeCell ref="D74:E74"/>
    <mergeCell ref="A6:E6"/>
    <mergeCell ref="A18:D18"/>
    <mergeCell ref="A19:D19"/>
    <mergeCell ref="D23:E23"/>
    <mergeCell ref="D79:E79"/>
    <mergeCell ref="B82:E82"/>
    <mergeCell ref="B87:E87"/>
    <mergeCell ref="B92:E92"/>
    <mergeCell ref="D75:E75"/>
    <mergeCell ref="D76:E76"/>
    <mergeCell ref="D77:E77"/>
    <mergeCell ref="D78:E78"/>
    <mergeCell ref="B134:E134"/>
    <mergeCell ref="B126:E126"/>
    <mergeCell ref="B97:E97"/>
    <mergeCell ref="B103:E103"/>
    <mergeCell ref="B110:E110"/>
    <mergeCell ref="B118:E118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60.75390625" style="0" customWidth="1"/>
    <col min="3" max="3" width="10.25390625" style="0" customWidth="1"/>
    <col min="4" max="4" width="12.125" style="0" customWidth="1"/>
    <col min="5" max="5" width="13.00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1062</v>
      </c>
      <c r="C7" s="26"/>
      <c r="D7" s="24"/>
    </row>
    <row r="8" spans="1:4" ht="15">
      <c r="A8" s="26"/>
      <c r="B8" s="27" t="s">
        <v>115</v>
      </c>
      <c r="C8" s="38">
        <v>4398.5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516316.09</v>
      </c>
      <c r="D11" s="155">
        <v>524931.34</v>
      </c>
      <c r="E11" s="242">
        <f aca="true" t="shared" si="0" ref="E11:E17">D11-C11</f>
        <v>8615.249999999942</v>
      </c>
    </row>
    <row r="12" spans="1:5" ht="12.75">
      <c r="A12" s="84">
        <v>2</v>
      </c>
      <c r="B12" s="5" t="s">
        <v>637</v>
      </c>
      <c r="C12" s="10">
        <v>243364.53</v>
      </c>
      <c r="D12" s="34">
        <v>254521.46</v>
      </c>
      <c r="E12" s="57">
        <f t="shared" si="0"/>
        <v>11156.929999999993</v>
      </c>
    </row>
    <row r="13" spans="1:5" ht="12.75">
      <c r="A13" s="87">
        <v>3</v>
      </c>
      <c r="B13" s="5" t="s">
        <v>633</v>
      </c>
      <c r="C13" s="67">
        <v>89609.13</v>
      </c>
      <c r="D13" s="83">
        <v>94767.15</v>
      </c>
      <c r="E13" s="57">
        <f t="shared" si="0"/>
        <v>5158.0199999999895</v>
      </c>
    </row>
    <row r="14" spans="1:5" ht="12.75">
      <c r="A14" s="84">
        <v>4</v>
      </c>
      <c r="B14" s="65" t="s">
        <v>364</v>
      </c>
      <c r="C14" s="94">
        <v>62822.34</v>
      </c>
      <c r="D14" s="83">
        <v>57748.22</v>
      </c>
      <c r="E14" s="57">
        <f t="shared" si="0"/>
        <v>-5074.119999999995</v>
      </c>
    </row>
    <row r="15" spans="1:5" ht="12.75">
      <c r="A15" s="87">
        <v>5</v>
      </c>
      <c r="B15" s="351" t="s">
        <v>770</v>
      </c>
      <c r="C15" s="258">
        <v>24355.05</v>
      </c>
      <c r="D15" s="258">
        <v>25007.06</v>
      </c>
      <c r="E15" s="66">
        <f t="shared" si="0"/>
        <v>652.010000000002</v>
      </c>
    </row>
    <row r="16" spans="1:5" ht="12.75">
      <c r="A16" s="84">
        <v>6</v>
      </c>
      <c r="B16" s="5" t="s">
        <v>1036</v>
      </c>
      <c r="C16" s="10">
        <v>9984.43</v>
      </c>
      <c r="D16" s="98">
        <v>9984.43</v>
      </c>
      <c r="E16" s="57">
        <f t="shared" si="0"/>
        <v>0</v>
      </c>
    </row>
    <row r="17" spans="1:5" ht="13.5" thickBot="1">
      <c r="A17" s="84">
        <v>7</v>
      </c>
      <c r="B17" s="65" t="s">
        <v>29</v>
      </c>
      <c r="C17" s="94">
        <f>2400+3600</f>
        <v>6000</v>
      </c>
      <c r="D17" s="83">
        <f>2400+3300</f>
        <v>5700</v>
      </c>
      <c r="E17" s="57">
        <f t="shared" si="0"/>
        <v>-300</v>
      </c>
    </row>
    <row r="18" spans="1:5" ht="13.5" thickBot="1">
      <c r="A18" s="208"/>
      <c r="B18" s="209"/>
      <c r="C18" s="135">
        <f>SUM(C11:C17)</f>
        <v>952451.5700000001</v>
      </c>
      <c r="D18" s="135">
        <f>SUM(D11:D17)</f>
        <v>972659.66</v>
      </c>
      <c r="E18" s="136">
        <f>SUM(E11:E17)</f>
        <v>20208.08999999993</v>
      </c>
    </row>
    <row r="19" spans="1:5" ht="12.75">
      <c r="A19" s="385" t="s">
        <v>793</v>
      </c>
      <c r="B19" s="386"/>
      <c r="C19" s="386"/>
      <c r="D19" s="386"/>
      <c r="E19" s="108">
        <f>E132</f>
        <v>142912.42999999996</v>
      </c>
    </row>
    <row r="20" spans="1:5" ht="12.75">
      <c r="A20" s="387" t="s">
        <v>794</v>
      </c>
      <c r="B20" s="384"/>
      <c r="C20" s="384"/>
      <c r="D20" s="384"/>
      <c r="E20" s="22">
        <v>232569.69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25.5">
      <c r="A23" s="86">
        <v>1</v>
      </c>
      <c r="B23" s="64" t="s">
        <v>773</v>
      </c>
      <c r="C23" s="80">
        <f>C58</f>
        <v>487656.5</v>
      </c>
      <c r="E23" s="29"/>
    </row>
    <row r="24" spans="1:5" ht="24.75" customHeight="1">
      <c r="A24" s="91">
        <v>2</v>
      </c>
      <c r="B24" s="25" t="s">
        <v>774</v>
      </c>
      <c r="C24" s="102">
        <f>C69</f>
        <v>59028.7</v>
      </c>
      <c r="D24" s="388"/>
      <c r="E24" s="389"/>
    </row>
    <row r="25" spans="1:5" ht="12.75">
      <c r="A25" s="84">
        <v>3</v>
      </c>
      <c r="B25" s="9" t="s">
        <v>649</v>
      </c>
      <c r="C25" s="48">
        <v>27947.01</v>
      </c>
      <c r="E25" s="29"/>
    </row>
    <row r="26" spans="1:5" ht="12.75">
      <c r="A26" s="84">
        <v>4</v>
      </c>
      <c r="B26" s="9" t="s">
        <v>122</v>
      </c>
      <c r="C26" s="48">
        <f>(C8*0.55*12)</f>
        <v>29030.100000000002</v>
      </c>
      <c r="E26" s="29"/>
    </row>
    <row r="27" spans="1:5" ht="12.75">
      <c r="A27" s="84">
        <v>5</v>
      </c>
      <c r="B27" s="9" t="s">
        <v>658</v>
      </c>
      <c r="C27" s="79">
        <v>69407.52</v>
      </c>
      <c r="E27" s="29"/>
    </row>
    <row r="28" spans="1:5" ht="12.75">
      <c r="A28" s="91">
        <v>6</v>
      </c>
      <c r="B28" s="25" t="s">
        <v>1176</v>
      </c>
      <c r="C28" s="96">
        <v>21066.24</v>
      </c>
      <c r="E28" s="29"/>
    </row>
    <row r="29" spans="1:5" ht="25.5" customHeight="1">
      <c r="A29" s="91">
        <v>7</v>
      </c>
      <c r="B29" s="25" t="s">
        <v>1128</v>
      </c>
      <c r="C29" s="96">
        <v>2400</v>
      </c>
      <c r="E29" s="29"/>
    </row>
    <row r="30" spans="1:5" ht="12.75" customHeight="1">
      <c r="A30" s="91">
        <v>8</v>
      </c>
      <c r="B30" s="25" t="s">
        <v>335</v>
      </c>
      <c r="C30" s="96">
        <v>4200</v>
      </c>
      <c r="E30" s="29"/>
    </row>
    <row r="31" spans="1:3" ht="12.75">
      <c r="A31" s="50"/>
      <c r="B31" s="20" t="s">
        <v>629</v>
      </c>
      <c r="C31" s="51">
        <f>SUM(C23:C30)</f>
        <v>700736.07</v>
      </c>
    </row>
    <row r="32" spans="1:3" ht="12.75">
      <c r="A32" s="49"/>
      <c r="B32" s="8" t="s">
        <v>965</v>
      </c>
      <c r="C32" s="45"/>
    </row>
    <row r="33" spans="1:3" ht="12.75">
      <c r="A33" s="84">
        <v>1</v>
      </c>
      <c r="B33" s="9" t="s">
        <v>228</v>
      </c>
      <c r="C33" s="48">
        <f>(C18)*15%</f>
        <v>142867.7355</v>
      </c>
    </row>
    <row r="34" spans="1:3" ht="12.75">
      <c r="A34" s="84">
        <v>2</v>
      </c>
      <c r="B34" s="9" t="s">
        <v>813</v>
      </c>
      <c r="C34" s="48">
        <f>C78</f>
        <v>9526.516755709628</v>
      </c>
    </row>
    <row r="35" spans="1:3" ht="12.75">
      <c r="A35" s="84">
        <v>3</v>
      </c>
      <c r="B35" s="9" t="s">
        <v>653</v>
      </c>
      <c r="C35" s="48">
        <f>C79</f>
        <v>10347.208777313892</v>
      </c>
    </row>
    <row r="36" spans="1:3" ht="12.75">
      <c r="A36" s="84">
        <v>4</v>
      </c>
      <c r="B36" s="9" t="s">
        <v>1114</v>
      </c>
      <c r="C36" s="52">
        <f>C80</f>
        <v>21005.247523861148</v>
      </c>
    </row>
    <row r="37" spans="1:3" ht="12.75">
      <c r="A37" s="84">
        <v>5</v>
      </c>
      <c r="B37" s="9" t="s">
        <v>162</v>
      </c>
      <c r="C37" s="52">
        <f>C81</f>
        <v>15348.255648971834</v>
      </c>
    </row>
    <row r="38" spans="1:3" ht="12.75">
      <c r="A38" s="84">
        <v>6</v>
      </c>
      <c r="B38" s="9" t="s">
        <v>1051</v>
      </c>
      <c r="C38" s="48">
        <f>C82+C84+C85+C86+C83</f>
        <v>26045.924950329205</v>
      </c>
    </row>
    <row r="39" spans="1:3" ht="12.75">
      <c r="A39" s="49"/>
      <c r="B39" s="74" t="s">
        <v>809</v>
      </c>
      <c r="C39" s="53"/>
    </row>
    <row r="40" spans="1:3" ht="12.75">
      <c r="A40" s="49"/>
      <c r="B40" s="5" t="s">
        <v>655</v>
      </c>
      <c r="C40" s="53"/>
    </row>
    <row r="41" spans="1:3" ht="12.75">
      <c r="A41" s="49"/>
      <c r="B41" s="74" t="s">
        <v>656</v>
      </c>
      <c r="C41" s="53"/>
    </row>
    <row r="42" spans="1:3" ht="12.75">
      <c r="A42" s="49"/>
      <c r="B42" s="74" t="s">
        <v>808</v>
      </c>
      <c r="C42" s="53"/>
    </row>
    <row r="43" spans="1:3" ht="12.75">
      <c r="A43" s="50"/>
      <c r="B43" s="20" t="s">
        <v>629</v>
      </c>
      <c r="C43" s="51">
        <f>C33+C34+C35+C36+C37+C38</f>
        <v>225140.88915618573</v>
      </c>
    </row>
    <row r="44" spans="1:3" ht="12.75">
      <c r="A44" s="49"/>
      <c r="B44" s="7" t="s">
        <v>966</v>
      </c>
      <c r="C44" s="45"/>
    </row>
    <row r="45" spans="1:3" ht="12.75">
      <c r="A45" s="84">
        <v>1</v>
      </c>
      <c r="B45" s="9" t="s">
        <v>631</v>
      </c>
      <c r="C45" s="48">
        <f>C18*2%</f>
        <v>19049.031400000003</v>
      </c>
    </row>
    <row r="46" spans="1:3" ht="12.75">
      <c r="A46" s="84">
        <v>2</v>
      </c>
      <c r="B46" s="9" t="s">
        <v>391</v>
      </c>
      <c r="C46" s="48">
        <f>C47</f>
        <v>56004.152316</v>
      </c>
    </row>
    <row r="47" spans="1:4" ht="12.75">
      <c r="A47" s="49"/>
      <c r="B47" s="5" t="s">
        <v>334</v>
      </c>
      <c r="C47" s="41">
        <f>(C18-C45)*6%</f>
        <v>56004.152316</v>
      </c>
      <c r="D47" s="19"/>
    </row>
    <row r="48" spans="1:3" ht="13.5" thickBot="1">
      <c r="A48" s="54"/>
      <c r="B48" s="55" t="s">
        <v>967</v>
      </c>
      <c r="C48" s="56">
        <f>C45+C46</f>
        <v>75053.183716</v>
      </c>
    </row>
    <row r="49" spans="1:3" ht="12.75">
      <c r="A49" s="23"/>
      <c r="B49" s="4" t="s">
        <v>288</v>
      </c>
      <c r="C49" s="11">
        <f>C31+C43+C48</f>
        <v>1000930.1428721857</v>
      </c>
    </row>
    <row r="50" spans="1:3" ht="12.75">
      <c r="A50" s="23"/>
      <c r="B50" s="77"/>
      <c r="C50" s="1"/>
    </row>
    <row r="51" spans="1:3" ht="15">
      <c r="A51" s="23"/>
      <c r="B51" s="14" t="s">
        <v>975</v>
      </c>
      <c r="C51" s="1">
        <v>241303.31</v>
      </c>
    </row>
    <row r="52" spans="1:3" ht="15">
      <c r="A52" s="23"/>
      <c r="B52" s="14" t="s">
        <v>94</v>
      </c>
      <c r="C52" s="11">
        <f>C18+C51-C49</f>
        <v>192824.73712781444</v>
      </c>
    </row>
    <row r="53" ht="12.75">
      <c r="B53" s="1" t="s">
        <v>85</v>
      </c>
    </row>
    <row r="54" ht="13.5" customHeight="1">
      <c r="B54" s="1" t="s">
        <v>1197</v>
      </c>
    </row>
    <row r="55" spans="1:4" ht="12.75">
      <c r="A55" s="2"/>
      <c r="B55" s="2"/>
      <c r="C55" s="2" t="s">
        <v>790</v>
      </c>
      <c r="D55" s="2"/>
    </row>
    <row r="56" spans="1:4" ht="12.75">
      <c r="A56" s="2"/>
      <c r="B56" s="2"/>
      <c r="C56" s="2" t="s">
        <v>769</v>
      </c>
      <c r="D56" s="2"/>
    </row>
    <row r="57" spans="1:5" ht="13.5" thickBot="1">
      <c r="A57" s="37"/>
      <c r="B57" s="37" t="s">
        <v>969</v>
      </c>
      <c r="C57" s="32" t="s">
        <v>886</v>
      </c>
      <c r="D57" s="114">
        <f>C8</f>
        <v>4398.5</v>
      </c>
      <c r="E57" t="s">
        <v>116</v>
      </c>
    </row>
    <row r="58" spans="1:5" ht="12.75">
      <c r="A58" s="60" t="s">
        <v>218</v>
      </c>
      <c r="B58" s="39" t="s">
        <v>165</v>
      </c>
      <c r="C58" s="47">
        <v>487656.5</v>
      </c>
      <c r="D58" s="15"/>
      <c r="E58" s="21"/>
    </row>
    <row r="59" spans="1:5" ht="12.75">
      <c r="A59" s="61"/>
      <c r="B59" s="6" t="s">
        <v>118</v>
      </c>
      <c r="C59" s="41"/>
      <c r="D59" s="15"/>
      <c r="E59" s="21"/>
    </row>
    <row r="60" spans="1:5" ht="12.75">
      <c r="A60" s="62" t="s">
        <v>166</v>
      </c>
      <c r="B60" s="6" t="s">
        <v>380</v>
      </c>
      <c r="C60" s="41">
        <v>27881</v>
      </c>
      <c r="D60" s="15"/>
      <c r="E60" s="15"/>
    </row>
    <row r="61" spans="1:5" ht="12.75">
      <c r="A61" s="62" t="s">
        <v>166</v>
      </c>
      <c r="B61" s="6" t="s">
        <v>765</v>
      </c>
      <c r="C61" s="41">
        <v>24504.13</v>
      </c>
      <c r="D61" s="15"/>
      <c r="E61" s="15"/>
    </row>
    <row r="62" spans="1:5" ht="12.75">
      <c r="A62" s="62" t="s">
        <v>166</v>
      </c>
      <c r="B62" s="6" t="s">
        <v>634</v>
      </c>
      <c r="C62" s="41">
        <v>67019.9</v>
      </c>
      <c r="D62" s="15"/>
      <c r="E62" s="15"/>
    </row>
    <row r="63" spans="1:5" ht="12.75">
      <c r="A63" s="62" t="s">
        <v>166</v>
      </c>
      <c r="B63" s="6" t="s">
        <v>963</v>
      </c>
      <c r="C63" s="41">
        <v>77074.86</v>
      </c>
      <c r="D63" s="15"/>
      <c r="E63" s="15"/>
    </row>
    <row r="64" spans="1:5" ht="12.75">
      <c r="A64" s="62" t="s">
        <v>166</v>
      </c>
      <c r="B64" s="6" t="s">
        <v>4</v>
      </c>
      <c r="C64" s="41">
        <v>14796.63</v>
      </c>
      <c r="D64" s="15"/>
      <c r="E64" s="15"/>
    </row>
    <row r="65" spans="1:5" ht="12.75">
      <c r="A65" s="62" t="s">
        <v>166</v>
      </c>
      <c r="B65" s="6" t="s">
        <v>772</v>
      </c>
      <c r="C65" s="41">
        <v>13689.3</v>
      </c>
      <c r="D65" s="15"/>
      <c r="E65" s="15"/>
    </row>
    <row r="66" spans="1:5" ht="12.75">
      <c r="A66" s="62" t="s">
        <v>166</v>
      </c>
      <c r="B66" s="6" t="s">
        <v>754</v>
      </c>
      <c r="C66" s="41">
        <v>866.67</v>
      </c>
      <c r="D66" s="15"/>
      <c r="E66" s="15"/>
    </row>
    <row r="67" spans="1:5" ht="12.75">
      <c r="A67" s="62" t="s">
        <v>166</v>
      </c>
      <c r="B67" s="6" t="s">
        <v>277</v>
      </c>
      <c r="C67" s="41">
        <v>2025</v>
      </c>
      <c r="D67" s="15"/>
      <c r="E67" s="15"/>
    </row>
    <row r="68" spans="1:5" ht="13.5" thickBot="1">
      <c r="A68" s="63" t="s">
        <v>166</v>
      </c>
      <c r="B68" s="42" t="s">
        <v>818</v>
      </c>
      <c r="C68" s="46">
        <v>4620.76</v>
      </c>
      <c r="D68" s="15"/>
      <c r="E68" s="15"/>
    </row>
    <row r="69" spans="1:5" ht="12.75">
      <c r="A69" s="60" t="s">
        <v>328</v>
      </c>
      <c r="B69" s="39" t="s">
        <v>343</v>
      </c>
      <c r="C69" s="47">
        <v>59028.7</v>
      </c>
      <c r="D69" s="15"/>
      <c r="E69" s="12"/>
    </row>
    <row r="70" spans="1:5" ht="12.75">
      <c r="A70" s="61"/>
      <c r="B70" s="6" t="s">
        <v>118</v>
      </c>
      <c r="C70" s="41"/>
      <c r="D70" s="15"/>
      <c r="E70" s="12"/>
    </row>
    <row r="71" spans="1:5" ht="12.75">
      <c r="A71" s="62" t="s">
        <v>166</v>
      </c>
      <c r="B71" s="6" t="s">
        <v>380</v>
      </c>
      <c r="C71" s="41">
        <v>830</v>
      </c>
      <c r="D71" s="15"/>
      <c r="E71" s="12"/>
    </row>
    <row r="72" spans="1:5" ht="12.75">
      <c r="A72" s="62" t="s">
        <v>166</v>
      </c>
      <c r="B72" s="6" t="s">
        <v>771</v>
      </c>
      <c r="C72" s="41">
        <v>2332.03</v>
      </c>
      <c r="D72" s="15"/>
      <c r="E72" s="12"/>
    </row>
    <row r="73" spans="1:5" ht="12.75">
      <c r="A73" s="62" t="s">
        <v>166</v>
      </c>
      <c r="B73" s="6" t="s">
        <v>1155</v>
      </c>
      <c r="C73" s="41">
        <v>22418.5</v>
      </c>
      <c r="D73" s="15"/>
      <c r="E73" s="12"/>
    </row>
    <row r="74" spans="1:5" ht="12.75">
      <c r="A74" s="62" t="s">
        <v>166</v>
      </c>
      <c r="B74" s="6" t="s">
        <v>560</v>
      </c>
      <c r="C74" s="41">
        <v>17610.45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250.32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225140.88915618567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C33</f>
        <v>142867.7355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9526.516755709628</v>
      </c>
      <c r="D78" s="375" t="s">
        <v>755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10347.208777313892</v>
      </c>
      <c r="D79" s="377" t="s">
        <v>756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21005.247523861148</v>
      </c>
      <c r="D80" s="379" t="s">
        <v>757</v>
      </c>
      <c r="E80" s="380"/>
    </row>
    <row r="81" spans="1:5" ht="25.5">
      <c r="A81" s="73" t="s">
        <v>166</v>
      </c>
      <c r="B81" s="72" t="s">
        <v>231</v>
      </c>
      <c r="C81" s="318">
        <f>845684.35/242356.05*D57</f>
        <v>15348.255648971834</v>
      </c>
      <c r="D81" s="381" t="s">
        <v>758</v>
      </c>
      <c r="E81" s="382"/>
    </row>
    <row r="82" spans="1:5" ht="12.75">
      <c r="A82" s="73" t="s">
        <v>166</v>
      </c>
      <c r="B82" s="74" t="s">
        <v>808</v>
      </c>
      <c r="C82" s="318">
        <f>642562.44/242356.05*D57</f>
        <v>11661.812825964113</v>
      </c>
      <c r="D82" s="371" t="s">
        <v>759</v>
      </c>
      <c r="E82" s="372"/>
    </row>
    <row r="83" spans="1:5" ht="12.75">
      <c r="A83" s="73" t="s">
        <v>166</v>
      </c>
      <c r="B83" s="74" t="s">
        <v>826</v>
      </c>
      <c r="C83" s="318">
        <f>51615/196822.43*D57</f>
        <v>1153.4690304352</v>
      </c>
      <c r="D83" s="371" t="s">
        <v>760</v>
      </c>
      <c r="E83" s="372"/>
    </row>
    <row r="84" spans="1:5" ht="12.75">
      <c r="A84" s="73" t="s">
        <v>166</v>
      </c>
      <c r="B84" s="74" t="s">
        <v>655</v>
      </c>
      <c r="C84" s="318">
        <f>129011.28/196822.43*D57</f>
        <v>2883.0866232065114</v>
      </c>
      <c r="D84" s="371" t="s">
        <v>761</v>
      </c>
      <c r="E84" s="372"/>
    </row>
    <row r="85" spans="1:5" ht="12.75">
      <c r="A85" s="73" t="s">
        <v>166</v>
      </c>
      <c r="B85" s="74" t="s">
        <v>656</v>
      </c>
      <c r="C85" s="318">
        <f>164128/196822.43*D57</f>
        <v>3667.859440613552</v>
      </c>
      <c r="D85" s="373" t="s">
        <v>762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298900.58/196822.43*D57</f>
        <v>6679.697030109831</v>
      </c>
      <c r="D86" s="369" t="s">
        <v>763</v>
      </c>
      <c r="E86" s="370"/>
    </row>
    <row r="87" ht="13.5" thickBot="1"/>
    <row r="88" spans="2:5" ht="26.25" thickBot="1">
      <c r="B88" s="143"/>
      <c r="C88" s="205" t="s">
        <v>104</v>
      </c>
      <c r="D88" s="236" t="s">
        <v>306</v>
      </c>
      <c r="E88" s="130" t="s">
        <v>305</v>
      </c>
    </row>
    <row r="89" spans="2:5" ht="13.5" thickBot="1">
      <c r="B89" s="363" t="s">
        <v>806</v>
      </c>
      <c r="C89" s="364"/>
      <c r="D89" s="364"/>
      <c r="E89" s="365"/>
    </row>
    <row r="90" spans="2:5" ht="12.75">
      <c r="B90" s="140" t="s">
        <v>285</v>
      </c>
      <c r="C90" s="234">
        <v>361375.7</v>
      </c>
      <c r="D90" s="218">
        <v>408748.75</v>
      </c>
      <c r="E90" s="44">
        <f>D90-C90</f>
        <v>47373.04999999999</v>
      </c>
    </row>
    <row r="91" spans="2:5" ht="12.75">
      <c r="B91" s="115" t="s">
        <v>637</v>
      </c>
      <c r="C91" s="10">
        <v>140102.06</v>
      </c>
      <c r="D91" s="99">
        <v>156564.43</v>
      </c>
      <c r="E91" s="45">
        <f>D91-C91</f>
        <v>16462.369999999995</v>
      </c>
    </row>
    <row r="92" spans="2:5" ht="12.75">
      <c r="B92" s="115" t="s">
        <v>633</v>
      </c>
      <c r="C92" s="10">
        <v>33229.96</v>
      </c>
      <c r="D92" s="99">
        <v>38878.42</v>
      </c>
      <c r="E92" s="45">
        <f>D92-C92</f>
        <v>5648.459999999999</v>
      </c>
    </row>
    <row r="93" spans="2:5" ht="13.5" thickBot="1">
      <c r="B93" s="157"/>
      <c r="C93" s="59">
        <f>SUM(C90:C92)</f>
        <v>534707.72</v>
      </c>
      <c r="D93" s="59">
        <f>SUM(D90:D92)</f>
        <v>604191.6</v>
      </c>
      <c r="E93" s="59">
        <f>SUM(E90:E92)</f>
        <v>69483.87999999998</v>
      </c>
    </row>
    <row r="94" spans="2:5" ht="13.5" thickBot="1">
      <c r="B94" s="393" t="s">
        <v>807</v>
      </c>
      <c r="C94" s="394"/>
      <c r="D94" s="394"/>
      <c r="E94" s="395"/>
    </row>
    <row r="95" spans="2:5" ht="12.75">
      <c r="B95" s="140" t="s">
        <v>285</v>
      </c>
      <c r="C95" s="234">
        <v>439942.29</v>
      </c>
      <c r="D95" s="218">
        <v>447657.84</v>
      </c>
      <c r="E95" s="44">
        <f>D95-C95</f>
        <v>7715.550000000047</v>
      </c>
    </row>
    <row r="96" spans="2:5" ht="12.75">
      <c r="B96" s="115" t="s">
        <v>637</v>
      </c>
      <c r="C96" s="10">
        <v>153218.62</v>
      </c>
      <c r="D96" s="99">
        <v>156575.16</v>
      </c>
      <c r="E96" s="45">
        <f>D96-C96</f>
        <v>3356.540000000008</v>
      </c>
    </row>
    <row r="97" spans="2:5" ht="13.5" thickBot="1">
      <c r="B97" s="124"/>
      <c r="C97" s="252">
        <f>SUM(C95:C96)</f>
        <v>593160.9099999999</v>
      </c>
      <c r="D97" s="252">
        <f>SUM(D95:D96)</f>
        <v>604233</v>
      </c>
      <c r="E97" s="119">
        <f>SUM(E95:E96)</f>
        <v>11072.090000000055</v>
      </c>
    </row>
    <row r="98" spans="2:5" ht="13.5" thickBot="1">
      <c r="B98" s="363" t="s">
        <v>421</v>
      </c>
      <c r="C98" s="364"/>
      <c r="D98" s="364"/>
      <c r="E98" s="365"/>
    </row>
    <row r="99" spans="2:5" ht="12.75">
      <c r="B99" s="140" t="s">
        <v>285</v>
      </c>
      <c r="C99" s="223">
        <v>446183.49</v>
      </c>
      <c r="D99" s="264">
        <v>467108.21</v>
      </c>
      <c r="E99" s="44">
        <f>D99-C99</f>
        <v>20924.72000000003</v>
      </c>
    </row>
    <row r="100" spans="2:5" ht="12.75">
      <c r="B100" s="115" t="s">
        <v>637</v>
      </c>
      <c r="C100" s="28">
        <v>159352.71</v>
      </c>
      <c r="D100" s="110">
        <v>166036.21</v>
      </c>
      <c r="E100" s="45">
        <f>D100-C100</f>
        <v>6683.5</v>
      </c>
    </row>
    <row r="101" spans="2:5" ht="13.5" thickBot="1">
      <c r="B101" s="157" t="s">
        <v>408</v>
      </c>
      <c r="C101" s="263">
        <v>48016.28</v>
      </c>
      <c r="D101" s="265">
        <v>52156.74</v>
      </c>
      <c r="E101" s="46">
        <f>D101-C101</f>
        <v>4140.459999999999</v>
      </c>
    </row>
    <row r="102" spans="2:5" ht="13.5" thickBot="1">
      <c r="B102" s="124"/>
      <c r="C102" s="252">
        <f>SUM(C99:C101)</f>
        <v>653552.48</v>
      </c>
      <c r="D102" s="252">
        <f>SUM(D99:D101)</f>
        <v>685301.16</v>
      </c>
      <c r="E102" s="119">
        <f>SUM(E99:E101)</f>
        <v>31748.68000000003</v>
      </c>
    </row>
    <row r="103" spans="2:5" ht="13.5" thickBot="1">
      <c r="B103" s="363" t="s">
        <v>1110</v>
      </c>
      <c r="C103" s="364"/>
      <c r="D103" s="364"/>
      <c r="E103" s="365"/>
    </row>
    <row r="104" spans="2:5" ht="12.75">
      <c r="B104" s="140" t="s">
        <v>285</v>
      </c>
      <c r="C104" s="234">
        <v>516040.22</v>
      </c>
      <c r="D104" s="218">
        <v>520703.11</v>
      </c>
      <c r="E104" s="253">
        <f>D104-C104</f>
        <v>4662.890000000014</v>
      </c>
    </row>
    <row r="105" spans="2:5" ht="12.75">
      <c r="B105" s="115" t="s">
        <v>637</v>
      </c>
      <c r="C105" s="10">
        <v>183878.35</v>
      </c>
      <c r="D105" s="99">
        <v>184952.06</v>
      </c>
      <c r="E105" s="53">
        <f>D105-C105</f>
        <v>1073.7099999999919</v>
      </c>
    </row>
    <row r="106" spans="2:5" ht="13.5" thickBot="1">
      <c r="B106" s="156" t="s">
        <v>633</v>
      </c>
      <c r="C106" s="142">
        <v>76640.46</v>
      </c>
      <c r="D106" s="142">
        <v>77648.6</v>
      </c>
      <c r="E106" s="85">
        <f>D106-C106</f>
        <v>1008.1399999999994</v>
      </c>
    </row>
    <row r="107" spans="2:5" ht="13.5" thickBot="1">
      <c r="B107" s="187"/>
      <c r="C107" s="254">
        <f>SUM(C104:C106)</f>
        <v>776559.0299999999</v>
      </c>
      <c r="D107" s="255">
        <f>SUM(D104:D106)</f>
        <v>783303.7699999999</v>
      </c>
      <c r="E107" s="256">
        <f>SUM(E104:E106)</f>
        <v>6744.740000000005</v>
      </c>
    </row>
    <row r="108" spans="2:5" ht="13.5" thickBot="1">
      <c r="B108" s="363" t="s">
        <v>206</v>
      </c>
      <c r="C108" s="364"/>
      <c r="D108" s="364"/>
      <c r="E108" s="365"/>
    </row>
    <row r="109" spans="2:5" ht="12.75">
      <c r="B109" s="140" t="s">
        <v>285</v>
      </c>
      <c r="C109" s="234">
        <v>500972.34</v>
      </c>
      <c r="D109" s="218">
        <v>520649.6</v>
      </c>
      <c r="E109" s="253">
        <f>D109-C109</f>
        <v>19677.25999999995</v>
      </c>
    </row>
    <row r="110" spans="2:5" ht="12.75">
      <c r="B110" s="115" t="s">
        <v>637</v>
      </c>
      <c r="C110" s="10">
        <v>192621.83</v>
      </c>
      <c r="D110" s="99">
        <v>203320.24</v>
      </c>
      <c r="E110" s="81">
        <f>D110-C110</f>
        <v>10698.410000000003</v>
      </c>
    </row>
    <row r="111" spans="2:5" ht="12.75">
      <c r="B111" s="220" t="s">
        <v>633</v>
      </c>
      <c r="C111" s="125">
        <v>79036.42</v>
      </c>
      <c r="D111" s="125">
        <v>82309.02</v>
      </c>
      <c r="E111" s="81">
        <f>D111-C111</f>
        <v>3272.600000000006</v>
      </c>
    </row>
    <row r="112" spans="2:5" ht="13.5" thickBot="1">
      <c r="B112" s="157" t="s">
        <v>1200</v>
      </c>
      <c r="C112" s="142">
        <v>8802.1</v>
      </c>
      <c r="D112" s="142">
        <v>8802.1</v>
      </c>
      <c r="E112" s="85">
        <v>0</v>
      </c>
    </row>
    <row r="113" spans="2:5" ht="13.5" thickBot="1">
      <c r="B113" s="187"/>
      <c r="C113" s="254">
        <f>SUM(C109:C112)</f>
        <v>781432.6900000001</v>
      </c>
      <c r="D113" s="255">
        <f>SUM(D109:D112)</f>
        <v>815080.96</v>
      </c>
      <c r="E113" s="256">
        <f>SUM(E109:E112)</f>
        <v>33648.26999999996</v>
      </c>
    </row>
    <row r="114" spans="2:5" ht="13.5" thickBot="1">
      <c r="B114" s="363" t="s">
        <v>437</v>
      </c>
      <c r="C114" s="364"/>
      <c r="D114" s="364"/>
      <c r="E114" s="365"/>
    </row>
    <row r="115" spans="2:5" ht="12.75">
      <c r="B115" s="140" t="s">
        <v>285</v>
      </c>
      <c r="C115" s="234">
        <v>376480.87</v>
      </c>
      <c r="D115" s="218">
        <v>347079.36</v>
      </c>
      <c r="E115" s="253">
        <f aca="true" t="shared" si="1" ref="E115:E120">D115-C115</f>
        <v>-29401.51000000001</v>
      </c>
    </row>
    <row r="116" spans="2:5" ht="12.75">
      <c r="B116" s="115" t="s">
        <v>637</v>
      </c>
      <c r="C116" s="10">
        <v>168071.47</v>
      </c>
      <c r="D116" s="99">
        <v>160056.4</v>
      </c>
      <c r="E116" s="53">
        <f t="shared" si="1"/>
        <v>-8015.070000000007</v>
      </c>
    </row>
    <row r="117" spans="2:5" ht="12.75">
      <c r="B117" s="220" t="s">
        <v>633</v>
      </c>
      <c r="C117" s="125">
        <v>63560.81</v>
      </c>
      <c r="D117" s="125">
        <v>59539.44</v>
      </c>
      <c r="E117" s="81">
        <f t="shared" si="1"/>
        <v>-4021.3699999999953</v>
      </c>
    </row>
    <row r="118" spans="2:5" ht="12.75">
      <c r="B118" s="220" t="s">
        <v>811</v>
      </c>
      <c r="C118" s="125">
        <v>81895.62</v>
      </c>
      <c r="D118" s="125">
        <v>94028.55</v>
      </c>
      <c r="E118" s="81">
        <f t="shared" si="1"/>
        <v>12132.930000000008</v>
      </c>
    </row>
    <row r="119" spans="2:5" ht="12.75">
      <c r="B119" s="269" t="s">
        <v>415</v>
      </c>
      <c r="C119" s="107">
        <v>1188.3</v>
      </c>
      <c r="D119" s="107">
        <v>0</v>
      </c>
      <c r="E119" s="81">
        <f t="shared" si="1"/>
        <v>-1188.3</v>
      </c>
    </row>
    <row r="120" spans="2:5" ht="13.5" thickBot="1">
      <c r="B120" s="156" t="s">
        <v>792</v>
      </c>
      <c r="C120" s="142">
        <v>2100</v>
      </c>
      <c r="D120" s="142">
        <v>2600</v>
      </c>
      <c r="E120" s="85">
        <f t="shared" si="1"/>
        <v>500</v>
      </c>
    </row>
    <row r="121" spans="2:5" ht="13.5" thickBot="1">
      <c r="B121" s="187"/>
      <c r="C121" s="254">
        <f>SUM(C115:C120)</f>
        <v>693297.07</v>
      </c>
      <c r="D121" s="255">
        <f>SUM(D115:D120)</f>
        <v>663303.75</v>
      </c>
      <c r="E121" s="256">
        <f>SUM(E115:E120)</f>
        <v>-29993.320000000003</v>
      </c>
    </row>
    <row r="122" spans="2:5" ht="13.5" thickBot="1">
      <c r="B122" s="363" t="s">
        <v>87</v>
      </c>
      <c r="C122" s="364"/>
      <c r="D122" s="364"/>
      <c r="E122" s="365"/>
    </row>
    <row r="123" spans="2:5" ht="12.75">
      <c r="B123" s="140" t="s">
        <v>285</v>
      </c>
      <c r="C123" s="234">
        <v>516316.09</v>
      </c>
      <c r="D123" s="155">
        <v>524931.34</v>
      </c>
      <c r="E123" s="253">
        <f aca="true" t="shared" si="2" ref="E123:E129">D123-C123</f>
        <v>8615.249999999942</v>
      </c>
    </row>
    <row r="124" spans="2:5" ht="12.75">
      <c r="B124" s="115" t="s">
        <v>637</v>
      </c>
      <c r="C124" s="10">
        <v>243364.53</v>
      </c>
      <c r="D124" s="34">
        <v>254521.46</v>
      </c>
      <c r="E124" s="53">
        <f t="shared" si="2"/>
        <v>11156.929999999993</v>
      </c>
    </row>
    <row r="125" spans="2:5" ht="12.75">
      <c r="B125" s="115" t="s">
        <v>633</v>
      </c>
      <c r="C125" s="67">
        <v>89609.13</v>
      </c>
      <c r="D125" s="83">
        <v>94767.15</v>
      </c>
      <c r="E125" s="53">
        <f>D125-C125</f>
        <v>5158.0199999999895</v>
      </c>
    </row>
    <row r="126" spans="2:5" ht="12.75">
      <c r="B126" s="116" t="s">
        <v>364</v>
      </c>
      <c r="C126" s="94">
        <v>62822.34</v>
      </c>
      <c r="D126" s="83">
        <v>57748.22</v>
      </c>
      <c r="E126" s="53">
        <f t="shared" si="2"/>
        <v>-5074.119999999995</v>
      </c>
    </row>
    <row r="127" spans="2:5" ht="12.75">
      <c r="B127" s="352" t="s">
        <v>770</v>
      </c>
      <c r="C127" s="258">
        <v>24355.05</v>
      </c>
      <c r="D127" s="258">
        <v>25007.06</v>
      </c>
      <c r="E127" s="53">
        <f t="shared" si="2"/>
        <v>652.010000000002</v>
      </c>
    </row>
    <row r="128" spans="2:5" ht="12.75" customHeight="1">
      <c r="B128" s="115" t="s">
        <v>1036</v>
      </c>
      <c r="C128" s="10">
        <v>9984.43</v>
      </c>
      <c r="D128" s="98">
        <v>9984.43</v>
      </c>
      <c r="E128" s="53">
        <f t="shared" si="2"/>
        <v>0</v>
      </c>
    </row>
    <row r="129" spans="2:5" ht="13.5" thickBot="1">
      <c r="B129" s="157" t="s">
        <v>29</v>
      </c>
      <c r="C129" s="247">
        <f>2400+3600</f>
        <v>6000</v>
      </c>
      <c r="D129" s="226">
        <f>2400+3300</f>
        <v>5700</v>
      </c>
      <c r="E129" s="262">
        <f t="shared" si="2"/>
        <v>-300</v>
      </c>
    </row>
    <row r="130" spans="2:5" ht="13.5" thickBot="1">
      <c r="B130" s="153"/>
      <c r="C130" s="152">
        <f>SUM(C123:C129)</f>
        <v>952451.5700000001</v>
      </c>
      <c r="D130" s="138">
        <f>SUM(D123:D129)</f>
        <v>972659.66</v>
      </c>
      <c r="E130" s="206">
        <f>SUM(E123:E129)</f>
        <v>20208.08999999993</v>
      </c>
    </row>
    <row r="131" spans="2:5" ht="13.5" thickBot="1">
      <c r="B131" s="366" t="s">
        <v>379</v>
      </c>
      <c r="C131" s="367"/>
      <c r="D131" s="367"/>
      <c r="E131" s="368"/>
    </row>
    <row r="132" spans="2:5" ht="13.5" thickBot="1">
      <c r="B132" s="153"/>
      <c r="C132" s="117">
        <f>C102+C107+C97+C93+C113+C121+C130</f>
        <v>4985161.47</v>
      </c>
      <c r="D132" s="117">
        <f>D102+D107+D97+D93+D113+D121+D130</f>
        <v>5128073.899999999</v>
      </c>
      <c r="E132" s="117">
        <f>E102+E107+E97+E93+E113+E121+E130</f>
        <v>142912.42999999996</v>
      </c>
    </row>
  </sheetData>
  <sheetProtection/>
  <mergeCells count="25">
    <mergeCell ref="A6:E6"/>
    <mergeCell ref="A19:D19"/>
    <mergeCell ref="A20:D20"/>
    <mergeCell ref="D24:E24"/>
    <mergeCell ref="A2:B2"/>
    <mergeCell ref="C2:E2"/>
    <mergeCell ref="C3:E3"/>
    <mergeCell ref="B4:E4"/>
    <mergeCell ref="D82:E82"/>
    <mergeCell ref="D83:E83"/>
    <mergeCell ref="D84:E84"/>
    <mergeCell ref="D85:E85"/>
    <mergeCell ref="D78:E78"/>
    <mergeCell ref="D79:E79"/>
    <mergeCell ref="D80:E80"/>
    <mergeCell ref="D81:E81"/>
    <mergeCell ref="B103:E103"/>
    <mergeCell ref="B108:E108"/>
    <mergeCell ref="B114:E114"/>
    <mergeCell ref="B131:E131"/>
    <mergeCell ref="B122:E122"/>
    <mergeCell ref="D86:E86"/>
    <mergeCell ref="B89:E89"/>
    <mergeCell ref="B94:E94"/>
    <mergeCell ref="B98:E98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59.375" style="0" customWidth="1"/>
    <col min="3" max="3" width="11.625" style="0" customWidth="1"/>
    <col min="4" max="4" width="12.125" style="0" customWidth="1"/>
    <col min="5" max="5" width="13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383</v>
      </c>
      <c r="C7" s="26"/>
      <c r="D7" s="24"/>
    </row>
    <row r="8" spans="1:4" ht="15">
      <c r="A8" s="26"/>
      <c r="B8" s="27" t="s">
        <v>115</v>
      </c>
      <c r="C8" s="38">
        <v>2485.4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298531.61</v>
      </c>
      <c r="D11" s="218">
        <v>300469.33</v>
      </c>
      <c r="E11" s="242">
        <f aca="true" t="shared" si="0" ref="E11:E18">D11-C11</f>
        <v>1937.7200000000303</v>
      </c>
    </row>
    <row r="12" spans="1:5" ht="12.75">
      <c r="A12" s="84">
        <v>2</v>
      </c>
      <c r="B12" s="5" t="s">
        <v>637</v>
      </c>
      <c r="C12" s="10">
        <v>148446.51</v>
      </c>
      <c r="D12" s="98">
        <v>151063.56</v>
      </c>
      <c r="E12" s="57">
        <f t="shared" si="0"/>
        <v>2617.0499999999884</v>
      </c>
    </row>
    <row r="13" spans="1:5" ht="12.75">
      <c r="A13" s="84">
        <v>3</v>
      </c>
      <c r="B13" s="5" t="s">
        <v>364</v>
      </c>
      <c r="C13" s="10">
        <v>42069.4</v>
      </c>
      <c r="D13" s="98">
        <v>33617.04</v>
      </c>
      <c r="E13" s="57">
        <f t="shared" si="0"/>
        <v>-8452.36</v>
      </c>
    </row>
    <row r="14" spans="1:5" ht="12.75">
      <c r="A14" s="84">
        <v>4</v>
      </c>
      <c r="B14" s="5" t="s">
        <v>633</v>
      </c>
      <c r="C14" s="10">
        <v>33698.17</v>
      </c>
      <c r="D14" s="98">
        <v>38297.24</v>
      </c>
      <c r="E14" s="57">
        <f t="shared" si="0"/>
        <v>4599.07</v>
      </c>
    </row>
    <row r="15" spans="1:5" ht="12.75">
      <c r="A15" s="84">
        <v>5</v>
      </c>
      <c r="B15" s="5" t="s">
        <v>1061</v>
      </c>
      <c r="C15" s="10">
        <f>3500+3600</f>
        <v>7100</v>
      </c>
      <c r="D15" s="98">
        <f>4200+3300</f>
        <v>7500</v>
      </c>
      <c r="E15" s="57">
        <f t="shared" si="0"/>
        <v>400</v>
      </c>
    </row>
    <row r="16" spans="1:5" ht="12.75">
      <c r="A16" s="84">
        <v>6</v>
      </c>
      <c r="B16" s="105" t="s">
        <v>1087</v>
      </c>
      <c r="C16" s="125">
        <v>22670.37</v>
      </c>
      <c r="D16" s="125">
        <v>23845.33</v>
      </c>
      <c r="E16" s="57">
        <f t="shared" si="0"/>
        <v>1174.9600000000028</v>
      </c>
    </row>
    <row r="17" spans="1:5" ht="12.75">
      <c r="A17" s="84">
        <v>7</v>
      </c>
      <c r="B17" s="5" t="s">
        <v>432</v>
      </c>
      <c r="C17" s="125">
        <v>2108.05</v>
      </c>
      <c r="D17" s="125">
        <v>2108.05</v>
      </c>
      <c r="E17" s="57">
        <f t="shared" si="0"/>
        <v>0</v>
      </c>
    </row>
    <row r="18" spans="1:5" ht="13.5" thickBot="1">
      <c r="A18" s="261">
        <v>8</v>
      </c>
      <c r="B18" s="276" t="s">
        <v>1088</v>
      </c>
      <c r="C18" s="142">
        <v>7534.61</v>
      </c>
      <c r="D18" s="142">
        <v>7534.61</v>
      </c>
      <c r="E18" s="222">
        <f t="shared" si="0"/>
        <v>0</v>
      </c>
    </row>
    <row r="19" spans="1:5" ht="13.5" thickBot="1">
      <c r="A19" s="250"/>
      <c r="B19" s="251"/>
      <c r="C19" s="118">
        <f>SUM(C11:C18)</f>
        <v>562158.72</v>
      </c>
      <c r="D19" s="118">
        <f>SUM(D11:D18)</f>
        <v>564435.1599999999</v>
      </c>
      <c r="E19" s="137">
        <f>SUM(E11:E18)</f>
        <v>2276.4400000000205</v>
      </c>
    </row>
    <row r="20" spans="1:5" ht="12.75">
      <c r="A20" s="385" t="s">
        <v>793</v>
      </c>
      <c r="B20" s="386"/>
      <c r="C20" s="386"/>
      <c r="D20" s="386"/>
      <c r="E20" s="108">
        <f>E133</f>
        <v>155494.83000000005</v>
      </c>
    </row>
    <row r="21" spans="1:5" ht="12.75">
      <c r="A21" s="387" t="s">
        <v>794</v>
      </c>
      <c r="B21" s="384"/>
      <c r="C21" s="384"/>
      <c r="D21" s="384"/>
      <c r="E21" s="22">
        <v>265587.4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1095</v>
      </c>
      <c r="C24" s="80">
        <f>C65</f>
        <v>190223.1</v>
      </c>
      <c r="E24" s="29"/>
    </row>
    <row r="25" spans="1:5" ht="12.75">
      <c r="A25" s="91">
        <v>2</v>
      </c>
      <c r="B25" s="25" t="s">
        <v>344</v>
      </c>
      <c r="C25" s="102">
        <f>C71</f>
        <v>14544.95</v>
      </c>
      <c r="D25" s="388"/>
      <c r="E25" s="389"/>
    </row>
    <row r="26" spans="1:5" ht="12.75">
      <c r="A26" s="84">
        <v>3</v>
      </c>
      <c r="B26" s="9" t="s">
        <v>649</v>
      </c>
      <c r="C26" s="48">
        <v>4124.44</v>
      </c>
      <c r="E26" s="29"/>
    </row>
    <row r="27" spans="1:5" ht="12.75">
      <c r="A27" s="84">
        <v>4</v>
      </c>
      <c r="B27" s="9" t="s">
        <v>122</v>
      </c>
      <c r="C27" s="48">
        <f>(C8*0.55*12)</f>
        <v>16403.640000000003</v>
      </c>
      <c r="E27" s="29"/>
    </row>
    <row r="28" spans="1:5" ht="12.75">
      <c r="A28" s="84">
        <v>5</v>
      </c>
      <c r="B28" s="9" t="s">
        <v>658</v>
      </c>
      <c r="C28" s="79">
        <v>34703.76</v>
      </c>
      <c r="E28" s="29"/>
    </row>
    <row r="29" spans="1:5" ht="12.75">
      <c r="A29" s="91">
        <v>6</v>
      </c>
      <c r="B29" s="25" t="s">
        <v>1091</v>
      </c>
      <c r="C29" s="96">
        <v>14000</v>
      </c>
      <c r="E29" s="29"/>
    </row>
    <row r="30" spans="1:5" ht="12.75">
      <c r="A30" s="91">
        <v>7</v>
      </c>
      <c r="B30" s="25" t="s">
        <v>1093</v>
      </c>
      <c r="C30" s="203">
        <v>4741.78</v>
      </c>
      <c r="E30" s="29"/>
    </row>
    <row r="31" spans="1:5" ht="12.75">
      <c r="A31" s="91">
        <v>8</v>
      </c>
      <c r="B31" s="25" t="s">
        <v>61</v>
      </c>
      <c r="C31" s="96">
        <v>2400</v>
      </c>
      <c r="E31" s="29"/>
    </row>
    <row r="32" spans="1:5" ht="12.75">
      <c r="A32" s="91">
        <v>9</v>
      </c>
      <c r="B32" s="25" t="s">
        <v>1094</v>
      </c>
      <c r="C32" s="96">
        <v>18923.01</v>
      </c>
      <c r="E32" s="29"/>
    </row>
    <row r="33" spans="1:5" ht="12.75">
      <c r="A33" s="91">
        <v>10</v>
      </c>
      <c r="B33" s="346" t="s">
        <v>1092</v>
      </c>
      <c r="C33" s="96">
        <v>258</v>
      </c>
      <c r="E33" s="29"/>
    </row>
    <row r="34" spans="1:5" ht="12.75">
      <c r="A34" s="91">
        <v>11</v>
      </c>
      <c r="B34" s="346" t="s">
        <v>26</v>
      </c>
      <c r="C34" s="96">
        <v>600</v>
      </c>
      <c r="E34" s="29"/>
    </row>
    <row r="35" spans="1:5" ht="25.5">
      <c r="A35" s="91">
        <v>12</v>
      </c>
      <c r="B35" s="25" t="s">
        <v>60</v>
      </c>
      <c r="C35" s="96">
        <v>10700</v>
      </c>
      <c r="E35" s="29"/>
    </row>
    <row r="36" spans="1:5" ht="25.5">
      <c r="A36" s="91">
        <v>13</v>
      </c>
      <c r="B36" s="25" t="s">
        <v>1090</v>
      </c>
      <c r="C36" s="96">
        <v>50</v>
      </c>
      <c r="E36" s="29"/>
    </row>
    <row r="37" spans="1:5" ht="38.25">
      <c r="A37" s="91">
        <v>14</v>
      </c>
      <c r="B37" s="25" t="s">
        <v>1089</v>
      </c>
      <c r="C37" s="349">
        <v>7606.95</v>
      </c>
      <c r="E37" s="29"/>
    </row>
    <row r="38" spans="1:3" ht="12.75">
      <c r="A38" s="50"/>
      <c r="B38" s="20" t="s">
        <v>629</v>
      </c>
      <c r="C38" s="51">
        <f>SUM(C24:C37)</f>
        <v>319279.63000000006</v>
      </c>
    </row>
    <row r="39" spans="1:3" ht="12.75">
      <c r="A39" s="49"/>
      <c r="B39" s="8" t="s">
        <v>965</v>
      </c>
      <c r="C39" s="45"/>
    </row>
    <row r="40" spans="1:3" ht="12.75">
      <c r="A40" s="84">
        <v>1</v>
      </c>
      <c r="B40" s="9" t="s">
        <v>228</v>
      </c>
      <c r="C40" s="48">
        <f>(C19)*15%</f>
        <v>84323.80799999999</v>
      </c>
    </row>
    <row r="41" spans="1:3" ht="12.75">
      <c r="A41" s="84">
        <v>2</v>
      </c>
      <c r="B41" s="9" t="s">
        <v>813</v>
      </c>
      <c r="C41" s="48">
        <f>C77</f>
        <v>5383.018016287532</v>
      </c>
    </row>
    <row r="42" spans="1:3" ht="12.75">
      <c r="A42" s="84">
        <v>3</v>
      </c>
      <c r="B42" s="9" t="s">
        <v>653</v>
      </c>
      <c r="C42" s="48">
        <f>C78</f>
        <v>5846.755188163225</v>
      </c>
    </row>
    <row r="43" spans="1:3" ht="12.75">
      <c r="A43" s="84">
        <v>4</v>
      </c>
      <c r="B43" s="9" t="s">
        <v>1114</v>
      </c>
      <c r="C43" s="52">
        <f>C79</f>
        <v>11869.14679909162</v>
      </c>
    </row>
    <row r="44" spans="1:3" ht="12.75">
      <c r="A44" s="84">
        <v>5</v>
      </c>
      <c r="B44" s="9" t="s">
        <v>162</v>
      </c>
      <c r="C44" s="52">
        <f>C80</f>
        <v>8672.628075469955</v>
      </c>
    </row>
    <row r="45" spans="1:3" ht="12.75">
      <c r="A45" s="84">
        <v>6</v>
      </c>
      <c r="B45" s="9" t="s">
        <v>1051</v>
      </c>
      <c r="C45" s="48">
        <f>C81+C83+C84+C85+C82</f>
        <v>14717.413179844994</v>
      </c>
    </row>
    <row r="46" spans="1:3" ht="12.75">
      <c r="A46" s="49"/>
      <c r="B46" s="74" t="s">
        <v>809</v>
      </c>
      <c r="C46" s="53"/>
    </row>
    <row r="47" spans="1:3" ht="12.75">
      <c r="A47" s="49"/>
      <c r="B47" s="5" t="s">
        <v>655</v>
      </c>
      <c r="C47" s="53"/>
    </row>
    <row r="48" spans="1:3" ht="12.75">
      <c r="A48" s="49"/>
      <c r="B48" s="74" t="s">
        <v>656</v>
      </c>
      <c r="C48" s="53"/>
    </row>
    <row r="49" spans="1:3" ht="12.75">
      <c r="A49" s="49"/>
      <c r="B49" s="74" t="s">
        <v>808</v>
      </c>
      <c r="C49" s="53"/>
    </row>
    <row r="50" spans="1:3" ht="12.75">
      <c r="A50" s="50"/>
      <c r="B50" s="20" t="s">
        <v>629</v>
      </c>
      <c r="C50" s="51">
        <f>C40+C41+C42+C43+C44+C45</f>
        <v>130812.76925885733</v>
      </c>
    </row>
    <row r="51" spans="1:3" ht="12.75">
      <c r="A51" s="49"/>
      <c r="B51" s="7" t="s">
        <v>966</v>
      </c>
      <c r="C51" s="45"/>
    </row>
    <row r="52" spans="1:3" ht="12.75">
      <c r="A52" s="84">
        <v>1</v>
      </c>
      <c r="B52" s="9" t="s">
        <v>631</v>
      </c>
      <c r="C52" s="48">
        <f>C19*2%</f>
        <v>11243.1744</v>
      </c>
    </row>
    <row r="53" spans="1:3" ht="12.75">
      <c r="A53" s="84">
        <v>2</v>
      </c>
      <c r="B53" s="9" t="s">
        <v>391</v>
      </c>
      <c r="C53" s="48">
        <f>C54</f>
        <v>33054.932735999995</v>
      </c>
    </row>
    <row r="54" spans="1:4" ht="12.75">
      <c r="A54" s="49"/>
      <c r="B54" s="5" t="s">
        <v>334</v>
      </c>
      <c r="C54" s="41">
        <f>(C19-C52)*6%</f>
        <v>33054.932735999995</v>
      </c>
      <c r="D54" s="19"/>
    </row>
    <row r="55" spans="1:3" ht="13.5" thickBot="1">
      <c r="A55" s="54"/>
      <c r="B55" s="55" t="s">
        <v>967</v>
      </c>
      <c r="C55" s="56">
        <f>C52+C53</f>
        <v>44298.10713599999</v>
      </c>
    </row>
    <row r="56" spans="1:3" ht="12.75">
      <c r="A56" s="23"/>
      <c r="B56" s="4" t="s">
        <v>288</v>
      </c>
      <c r="C56" s="11">
        <f>C38+C50+C55</f>
        <v>494390.50639485737</v>
      </c>
    </row>
    <row r="57" spans="1:3" ht="12.75">
      <c r="A57" s="23"/>
      <c r="B57" s="77"/>
      <c r="C57" s="1"/>
    </row>
    <row r="58" spans="1:3" ht="15">
      <c r="A58" s="23"/>
      <c r="B58" s="14" t="s">
        <v>812</v>
      </c>
      <c r="C58" s="11">
        <v>356124.9</v>
      </c>
    </row>
    <row r="59" spans="1:3" ht="15">
      <c r="A59" s="23"/>
      <c r="B59" s="14" t="s">
        <v>180</v>
      </c>
      <c r="C59" s="11">
        <f>C56+C58-C19</f>
        <v>288356.6863948575</v>
      </c>
    </row>
    <row r="60" ht="12.75">
      <c r="B60" s="1" t="s">
        <v>85</v>
      </c>
    </row>
    <row r="61" ht="12.75">
      <c r="B61" s="1" t="s">
        <v>1197</v>
      </c>
    </row>
    <row r="62" spans="1:4" ht="12.75">
      <c r="A62" s="2"/>
      <c r="B62" s="2"/>
      <c r="C62" s="2" t="s">
        <v>790</v>
      </c>
      <c r="D62" s="2"/>
    </row>
    <row r="63" spans="1:4" ht="12.75">
      <c r="A63" s="2"/>
      <c r="B63" s="2"/>
      <c r="C63" s="2" t="s">
        <v>275</v>
      </c>
      <c r="D63" s="2"/>
    </row>
    <row r="64" spans="1:5" ht="13.5" thickBot="1">
      <c r="A64" s="37"/>
      <c r="B64" s="37" t="s">
        <v>969</v>
      </c>
      <c r="C64" s="32" t="s">
        <v>886</v>
      </c>
      <c r="D64" s="114">
        <f>C8</f>
        <v>2485.4</v>
      </c>
      <c r="E64" t="s">
        <v>116</v>
      </c>
    </row>
    <row r="65" spans="1:5" ht="12.75">
      <c r="A65" s="60" t="s">
        <v>218</v>
      </c>
      <c r="B65" s="39" t="s">
        <v>797</v>
      </c>
      <c r="C65" s="47">
        <v>190223.1</v>
      </c>
      <c r="D65" s="15"/>
      <c r="E65" s="21"/>
    </row>
    <row r="66" spans="1:5" ht="12.75">
      <c r="A66" s="61"/>
      <c r="B66" s="6" t="s">
        <v>118</v>
      </c>
      <c r="C66" s="41"/>
      <c r="D66" s="15"/>
      <c r="E66" s="21"/>
    </row>
    <row r="67" spans="1:5" ht="12.75">
      <c r="A67" s="62" t="s">
        <v>166</v>
      </c>
      <c r="B67" s="6" t="s">
        <v>380</v>
      </c>
      <c r="C67" s="41">
        <v>17968.9</v>
      </c>
      <c r="D67" s="15"/>
      <c r="E67" s="15"/>
    </row>
    <row r="68" spans="1:5" ht="12.75">
      <c r="A68" s="62" t="s">
        <v>166</v>
      </c>
      <c r="B68" s="6" t="s">
        <v>974</v>
      </c>
      <c r="C68" s="41">
        <v>2000</v>
      </c>
      <c r="D68" s="15"/>
      <c r="E68" s="15"/>
    </row>
    <row r="69" spans="1:5" ht="12.75">
      <c r="A69" s="62" t="s">
        <v>166</v>
      </c>
      <c r="B69" s="6" t="s">
        <v>341</v>
      </c>
      <c r="C69" s="41">
        <v>17242.97</v>
      </c>
      <c r="D69" s="15"/>
      <c r="E69" s="15"/>
    </row>
    <row r="70" spans="1:5" ht="13.5" thickBot="1">
      <c r="A70" s="63" t="s">
        <v>166</v>
      </c>
      <c r="B70" s="42" t="s">
        <v>818</v>
      </c>
      <c r="C70" s="46">
        <v>3680.56</v>
      </c>
      <c r="D70" s="15"/>
      <c r="E70" s="15"/>
    </row>
    <row r="71" spans="1:5" ht="12.75">
      <c r="A71" s="60" t="s">
        <v>328</v>
      </c>
      <c r="B71" s="39" t="s">
        <v>343</v>
      </c>
      <c r="C71" s="47">
        <v>14544.95</v>
      </c>
      <c r="D71" s="15"/>
      <c r="E71" s="12"/>
    </row>
    <row r="72" spans="1:5" ht="12.75">
      <c r="A72" s="61"/>
      <c r="B72" s="6" t="s">
        <v>118</v>
      </c>
      <c r="C72" s="41"/>
      <c r="D72" s="15"/>
      <c r="E72" s="12"/>
    </row>
    <row r="73" spans="1:5" ht="12.75">
      <c r="A73" s="62" t="s">
        <v>166</v>
      </c>
      <c r="B73" s="6" t="s">
        <v>380</v>
      </c>
      <c r="C73" s="41">
        <v>520</v>
      </c>
      <c r="D73" s="15"/>
      <c r="E73" s="12"/>
    </row>
    <row r="74" spans="1:5" ht="13.5" thickBot="1">
      <c r="A74" s="63" t="s">
        <v>166</v>
      </c>
      <c r="B74" s="42" t="s">
        <v>818</v>
      </c>
      <c r="C74" s="46">
        <v>142.12</v>
      </c>
      <c r="D74" s="15"/>
      <c r="E74" s="15"/>
    </row>
    <row r="75" spans="1:5" ht="12.75">
      <c r="A75" s="300" t="s">
        <v>787</v>
      </c>
      <c r="B75" s="97" t="s">
        <v>1050</v>
      </c>
      <c r="C75" s="82">
        <f>C76+C77+C79+C78+C80+C81+C83+C84+C85+C82</f>
        <v>130812.76925885731</v>
      </c>
      <c r="D75" s="15"/>
      <c r="E75" s="12"/>
    </row>
    <row r="76" spans="1:5" ht="13.5" thickBot="1">
      <c r="A76" s="40" t="s">
        <v>166</v>
      </c>
      <c r="B76" s="6" t="s">
        <v>227</v>
      </c>
      <c r="C76" s="41">
        <f>C40</f>
        <v>84323.80799999999</v>
      </c>
      <c r="D76" s="15"/>
      <c r="E76" s="12"/>
    </row>
    <row r="77" spans="1:5" ht="12.75">
      <c r="A77" s="40" t="s">
        <v>166</v>
      </c>
      <c r="B77" s="6" t="s">
        <v>370</v>
      </c>
      <c r="C77" s="317">
        <f>401410.25/185335.63*C8</f>
        <v>5383.018016287532</v>
      </c>
      <c r="D77" s="375" t="s">
        <v>1078</v>
      </c>
      <c r="E77" s="376"/>
    </row>
    <row r="78" spans="1:5" ht="12.75">
      <c r="A78" s="73" t="s">
        <v>166</v>
      </c>
      <c r="B78" s="74" t="s">
        <v>397</v>
      </c>
      <c r="C78" s="317">
        <f>435991.01/185335.63*C8</f>
        <v>5846.755188163225</v>
      </c>
      <c r="D78" s="377" t="s">
        <v>1079</v>
      </c>
      <c r="E78" s="378"/>
    </row>
    <row r="79" spans="1:5" ht="12.75">
      <c r="A79" s="71" t="s">
        <v>166</v>
      </c>
      <c r="B79" s="72" t="s">
        <v>416</v>
      </c>
      <c r="C79" s="317">
        <f>1082167/226605.83*C8</f>
        <v>11869.14679909162</v>
      </c>
      <c r="D79" s="379" t="s">
        <v>1080</v>
      </c>
      <c r="E79" s="380"/>
    </row>
    <row r="80" spans="1:5" ht="25.5">
      <c r="A80" s="73" t="s">
        <v>166</v>
      </c>
      <c r="B80" s="72" t="s">
        <v>231</v>
      </c>
      <c r="C80" s="318">
        <f>845684.35/242356.05*D64</f>
        <v>8672.628075469955</v>
      </c>
      <c r="D80" s="381" t="s">
        <v>1081</v>
      </c>
      <c r="E80" s="382"/>
    </row>
    <row r="81" spans="1:5" ht="12.75">
      <c r="A81" s="73" t="s">
        <v>166</v>
      </c>
      <c r="B81" s="74" t="s">
        <v>808</v>
      </c>
      <c r="C81" s="318">
        <f>642562.44/242356.05*D64</f>
        <v>6589.58044734596</v>
      </c>
      <c r="D81" s="371" t="s">
        <v>1082</v>
      </c>
      <c r="E81" s="372"/>
    </row>
    <row r="82" spans="1:5" ht="12.75">
      <c r="A82" s="73" t="s">
        <v>166</v>
      </c>
      <c r="B82" s="74" t="s">
        <v>826</v>
      </c>
      <c r="C82" s="318">
        <f>51615/196822.43*D64</f>
        <v>651.7749069554726</v>
      </c>
      <c r="D82" s="371" t="s">
        <v>1083</v>
      </c>
      <c r="E82" s="372"/>
    </row>
    <row r="83" spans="1:5" ht="12.75">
      <c r="A83" s="73" t="s">
        <v>166</v>
      </c>
      <c r="B83" s="74" t="s">
        <v>655</v>
      </c>
      <c r="C83" s="318">
        <f>129011.28/196822.43*D64</f>
        <v>1629.1061710395506</v>
      </c>
      <c r="D83" s="371" t="s">
        <v>1084</v>
      </c>
      <c r="E83" s="372"/>
    </row>
    <row r="84" spans="1:5" ht="12.75">
      <c r="A84" s="73" t="s">
        <v>166</v>
      </c>
      <c r="B84" s="74" t="s">
        <v>656</v>
      </c>
      <c r="C84" s="318">
        <f>164128/196822.43*D64</f>
        <v>2072.5469713995503</v>
      </c>
      <c r="D84" s="373" t="s">
        <v>1085</v>
      </c>
      <c r="E84" s="374"/>
    </row>
    <row r="85" spans="1:5" ht="13.5" thickBot="1">
      <c r="A85" s="75" t="s">
        <v>166</v>
      </c>
      <c r="B85" s="76" t="s">
        <v>809</v>
      </c>
      <c r="C85" s="319">
        <f>298900.58/196822.43*D64</f>
        <v>3774.4046831044616</v>
      </c>
      <c r="D85" s="369" t="s">
        <v>1086</v>
      </c>
      <c r="E85" s="370"/>
    </row>
    <row r="86" ht="13.5" thickBot="1"/>
    <row r="87" spans="2:5" ht="26.25" thickBot="1">
      <c r="B87" s="143"/>
      <c r="C87" s="159" t="s">
        <v>104</v>
      </c>
      <c r="D87" s="161" t="s">
        <v>306</v>
      </c>
      <c r="E87" s="160" t="s">
        <v>1115</v>
      </c>
    </row>
    <row r="88" spans="2:5" ht="13.5" thickBot="1">
      <c r="B88" s="363" t="s">
        <v>1196</v>
      </c>
      <c r="C88" s="364"/>
      <c r="D88" s="364"/>
      <c r="E88" s="368"/>
    </row>
    <row r="89" spans="2:5" ht="12.75">
      <c r="B89" s="180" t="s">
        <v>285</v>
      </c>
      <c r="C89" s="163">
        <v>140121.38</v>
      </c>
      <c r="D89" s="163">
        <v>174345.02</v>
      </c>
      <c r="E89" s="164">
        <f>D89-C89</f>
        <v>34223.639999999985</v>
      </c>
    </row>
    <row r="90" spans="2:5" ht="13.5" thickBot="1">
      <c r="B90" s="202" t="s">
        <v>637</v>
      </c>
      <c r="C90" s="200">
        <v>83490.86</v>
      </c>
      <c r="D90" s="200">
        <v>100905.17</v>
      </c>
      <c r="E90" s="164">
        <f>D90-C90</f>
        <v>17414.309999999998</v>
      </c>
    </row>
    <row r="91" spans="2:5" ht="13.5" thickBot="1">
      <c r="B91" s="143"/>
      <c r="C91" s="167">
        <f>SUM(C89:C90)</f>
        <v>223612.24</v>
      </c>
      <c r="D91" s="168">
        <f>SUM(D89:D90)</f>
        <v>275250.19</v>
      </c>
      <c r="E91" s="169">
        <f>D91-C91</f>
        <v>51637.95000000001</v>
      </c>
    </row>
    <row r="92" spans="2:5" ht="13.5" thickBot="1">
      <c r="B92" s="363" t="s">
        <v>804</v>
      </c>
      <c r="C92" s="364"/>
      <c r="D92" s="364"/>
      <c r="E92" s="365"/>
    </row>
    <row r="93" spans="2:5" ht="12.75">
      <c r="B93" s="180" t="s">
        <v>285</v>
      </c>
      <c r="C93" s="163">
        <v>219063.03</v>
      </c>
      <c r="D93" s="170">
        <v>231365.4</v>
      </c>
      <c r="E93" s="171">
        <f>D93-C93</f>
        <v>12302.369999999995</v>
      </c>
    </row>
    <row r="94" spans="2:5" ht="12.75">
      <c r="B94" s="181" t="s">
        <v>637</v>
      </c>
      <c r="C94" s="183">
        <v>111907.86</v>
      </c>
      <c r="D94" s="183">
        <v>116578.31</v>
      </c>
      <c r="E94" s="166">
        <f>D94-C94</f>
        <v>4670.449999999997</v>
      </c>
    </row>
    <row r="95" spans="2:5" ht="12.75">
      <c r="B95" s="181" t="s">
        <v>408</v>
      </c>
      <c r="C95" s="200">
        <v>5805.18</v>
      </c>
      <c r="D95" s="201">
        <v>7119</v>
      </c>
      <c r="E95" s="166">
        <f>D95-C95</f>
        <v>1313.8199999999997</v>
      </c>
    </row>
    <row r="96" spans="2:5" ht="26.25" thickBot="1">
      <c r="B96" s="199" t="s">
        <v>939</v>
      </c>
      <c r="C96" s="198">
        <v>3200</v>
      </c>
      <c r="D96" s="198">
        <v>3200</v>
      </c>
      <c r="E96" s="197">
        <f>D96-C96</f>
        <v>0</v>
      </c>
    </row>
    <row r="97" spans="2:5" ht="13.5" thickBot="1">
      <c r="B97" s="187"/>
      <c r="C97" s="188">
        <f>SUM(C93:C96)</f>
        <v>339976.07</v>
      </c>
      <c r="D97" s="174">
        <f>SUM(D93:D96)</f>
        <v>358262.70999999996</v>
      </c>
      <c r="E97" s="174">
        <f>SUM(E93:E96)</f>
        <v>18286.639999999992</v>
      </c>
    </row>
    <row r="98" spans="2:5" ht="13.5" thickBot="1">
      <c r="B98" s="363" t="s">
        <v>382</v>
      </c>
      <c r="C98" s="364"/>
      <c r="D98" s="364"/>
      <c r="E98" s="365"/>
    </row>
    <row r="99" spans="2:5" ht="12.75">
      <c r="B99" s="140" t="s">
        <v>285</v>
      </c>
      <c r="C99" s="212">
        <v>233294.16</v>
      </c>
      <c r="D99" s="223">
        <v>259634.97</v>
      </c>
      <c r="E99" s="242">
        <f>D99-C99</f>
        <v>26340.809999999998</v>
      </c>
    </row>
    <row r="100" spans="2:5" ht="12.75">
      <c r="B100" s="115" t="s">
        <v>637</v>
      </c>
      <c r="C100" s="18">
        <v>112611.98</v>
      </c>
      <c r="D100" s="18">
        <v>126236.31</v>
      </c>
      <c r="E100" s="57">
        <f>D100-C100</f>
        <v>13624.330000000002</v>
      </c>
    </row>
    <row r="101" spans="2:5" ht="12.75">
      <c r="B101" s="220" t="s">
        <v>408</v>
      </c>
      <c r="C101" s="111">
        <v>13781.07</v>
      </c>
      <c r="D101" s="112">
        <v>14238</v>
      </c>
      <c r="E101" s="128">
        <f>D101-C101</f>
        <v>456.9300000000003</v>
      </c>
    </row>
    <row r="102" spans="2:5" ht="26.25" thickBot="1">
      <c r="B102" s="156" t="s">
        <v>939</v>
      </c>
      <c r="C102" s="224">
        <v>3850</v>
      </c>
      <c r="D102" s="224">
        <v>3850</v>
      </c>
      <c r="E102" s="219">
        <f>D102-C102</f>
        <v>0</v>
      </c>
    </row>
    <row r="103" spans="2:5" ht="13.5" thickBot="1">
      <c r="B103" s="177"/>
      <c r="C103" s="217">
        <f>SUM(C99:C102)</f>
        <v>363537.21</v>
      </c>
      <c r="D103" s="217">
        <f>SUM(D99:D102)</f>
        <v>403959.28</v>
      </c>
      <c r="E103" s="217">
        <f>SUM(E99:E102)</f>
        <v>40422.07</v>
      </c>
    </row>
    <row r="104" spans="2:5" ht="13.5" thickBot="1">
      <c r="B104" s="363" t="s">
        <v>1058</v>
      </c>
      <c r="C104" s="364"/>
      <c r="D104" s="364"/>
      <c r="E104" s="365"/>
    </row>
    <row r="105" spans="2:5" ht="12.75">
      <c r="B105" s="140" t="s">
        <v>285</v>
      </c>
      <c r="C105" s="212">
        <v>256680.26</v>
      </c>
      <c r="D105" s="285">
        <v>276360.13</v>
      </c>
      <c r="E105" s="242">
        <f aca="true" t="shared" si="1" ref="E105:E111">D105-C105</f>
        <v>19679.869999999995</v>
      </c>
    </row>
    <row r="106" spans="2:5" ht="12.75">
      <c r="B106" s="115" t="s">
        <v>637</v>
      </c>
      <c r="C106" s="18">
        <v>128026.41</v>
      </c>
      <c r="D106" s="36">
        <v>134376.94</v>
      </c>
      <c r="E106" s="57">
        <f t="shared" si="1"/>
        <v>6350.529999999999</v>
      </c>
    </row>
    <row r="107" spans="2:5" ht="12.75">
      <c r="B107" s="115" t="s">
        <v>633</v>
      </c>
      <c r="C107" s="18">
        <v>23669.55</v>
      </c>
      <c r="D107" s="88">
        <v>24408</v>
      </c>
      <c r="E107" s="128">
        <f t="shared" si="1"/>
        <v>738.4500000000007</v>
      </c>
    </row>
    <row r="108" spans="2:5" ht="12.75">
      <c r="B108" s="115" t="s">
        <v>1200</v>
      </c>
      <c r="C108" s="89">
        <v>14176.47</v>
      </c>
      <c r="D108" s="90">
        <v>14176.47</v>
      </c>
      <c r="E108" s="57">
        <f t="shared" si="1"/>
        <v>0</v>
      </c>
    </row>
    <row r="109" spans="2:5" ht="12.75">
      <c r="B109" s="116" t="s">
        <v>364</v>
      </c>
      <c r="C109" s="103">
        <v>2880.01</v>
      </c>
      <c r="D109" s="90">
        <v>9047.35</v>
      </c>
      <c r="E109" s="57">
        <f t="shared" si="1"/>
        <v>6167.34</v>
      </c>
    </row>
    <row r="110" spans="2:5" ht="25.5">
      <c r="B110" s="278" t="s">
        <v>939</v>
      </c>
      <c r="C110" s="106">
        <v>4200</v>
      </c>
      <c r="D110" s="127">
        <v>4200</v>
      </c>
      <c r="E110" s="128">
        <f t="shared" si="1"/>
        <v>0</v>
      </c>
    </row>
    <row r="111" spans="2:5" ht="13.5" thickBot="1">
      <c r="B111" s="157" t="s">
        <v>418</v>
      </c>
      <c r="C111" s="263">
        <v>1065.36</v>
      </c>
      <c r="D111" s="263">
        <v>1065.36</v>
      </c>
      <c r="E111" s="219">
        <f t="shared" si="1"/>
        <v>0</v>
      </c>
    </row>
    <row r="112" spans="2:5" ht="13.5" thickBot="1">
      <c r="B112" s="177"/>
      <c r="C112" s="217">
        <f>SUM(C105:C111)</f>
        <v>430698.06</v>
      </c>
      <c r="D112" s="217">
        <f>SUM(D105:D111)</f>
        <v>463634.24999999994</v>
      </c>
      <c r="E112" s="217">
        <f>SUM(E105:E111)</f>
        <v>32936.189999999995</v>
      </c>
    </row>
    <row r="113" spans="2:5" ht="13.5" thickBot="1">
      <c r="B113" s="363" t="s">
        <v>823</v>
      </c>
      <c r="C113" s="364"/>
      <c r="D113" s="364"/>
      <c r="E113" s="365"/>
    </row>
    <row r="114" spans="2:5" ht="12.75">
      <c r="B114" s="140" t="s">
        <v>285</v>
      </c>
      <c r="C114" s="141">
        <v>146693.54</v>
      </c>
      <c r="D114" s="155">
        <v>146089.53</v>
      </c>
      <c r="E114" s="242">
        <f aca="true" t="shared" si="2" ref="E114:E120">D114-C114</f>
        <v>-604.0100000000093</v>
      </c>
    </row>
    <row r="115" spans="2:5" ht="12.75">
      <c r="B115" s="115" t="s">
        <v>637</v>
      </c>
      <c r="C115" s="5">
        <v>72062.72</v>
      </c>
      <c r="D115" s="33">
        <v>71287.1</v>
      </c>
      <c r="E115" s="57">
        <f t="shared" si="2"/>
        <v>-775.6199999999953</v>
      </c>
    </row>
    <row r="116" spans="2:5" ht="12.75">
      <c r="B116" s="115" t="s">
        <v>633</v>
      </c>
      <c r="C116" s="65">
        <v>15565.42</v>
      </c>
      <c r="D116" s="70">
        <v>17289</v>
      </c>
      <c r="E116" s="57">
        <f t="shared" si="2"/>
        <v>1723.58</v>
      </c>
    </row>
    <row r="117" spans="2:5" ht="12.75">
      <c r="B117" s="116" t="s">
        <v>364</v>
      </c>
      <c r="C117" s="94">
        <v>45504.02</v>
      </c>
      <c r="D117" s="83">
        <v>54284.1</v>
      </c>
      <c r="E117" s="57">
        <f t="shared" si="2"/>
        <v>8780.080000000002</v>
      </c>
    </row>
    <row r="118" spans="2:5" ht="12.75">
      <c r="B118" s="116" t="s">
        <v>415</v>
      </c>
      <c r="C118" s="94">
        <v>0</v>
      </c>
      <c r="D118" s="83">
        <v>511.51</v>
      </c>
      <c r="E118" s="57">
        <f t="shared" si="2"/>
        <v>511.51</v>
      </c>
    </row>
    <row r="119" spans="2:5" ht="12.75">
      <c r="B119" s="278" t="s">
        <v>792</v>
      </c>
      <c r="C119" s="122">
        <v>2650</v>
      </c>
      <c r="D119" s="122">
        <v>2950</v>
      </c>
      <c r="E119" s="123">
        <f t="shared" si="2"/>
        <v>300</v>
      </c>
    </row>
    <row r="120" spans="2:5" ht="13.5" thickBot="1">
      <c r="B120" s="157" t="s">
        <v>432</v>
      </c>
      <c r="C120" s="274">
        <v>3548.64</v>
      </c>
      <c r="D120" s="277">
        <v>3548.64</v>
      </c>
      <c r="E120" s="219">
        <f t="shared" si="2"/>
        <v>0</v>
      </c>
    </row>
    <row r="121" spans="2:5" ht="13.5" thickBot="1">
      <c r="B121" s="177"/>
      <c r="C121" s="217">
        <f>SUM(C114:C120)</f>
        <v>286024.34</v>
      </c>
      <c r="D121" s="217">
        <f>SUM(D114:D120)</f>
        <v>295959.88</v>
      </c>
      <c r="E121" s="217">
        <f>SUM(E114:E120)</f>
        <v>9935.539999999997</v>
      </c>
    </row>
    <row r="122" spans="2:5" ht="13.5" thickBot="1">
      <c r="B122" s="363" t="s">
        <v>87</v>
      </c>
      <c r="C122" s="364"/>
      <c r="D122" s="364"/>
      <c r="E122" s="365"/>
    </row>
    <row r="123" spans="2:5" ht="12.75">
      <c r="B123" s="140" t="s">
        <v>285</v>
      </c>
      <c r="C123" s="234">
        <v>298531.61</v>
      </c>
      <c r="D123" s="218">
        <v>300469.33</v>
      </c>
      <c r="E123" s="242">
        <f aca="true" t="shared" si="3" ref="E123:E130">D123-C123</f>
        <v>1937.7200000000303</v>
      </c>
    </row>
    <row r="124" spans="2:5" ht="12.75">
      <c r="B124" s="115" t="s">
        <v>637</v>
      </c>
      <c r="C124" s="10">
        <v>148446.51</v>
      </c>
      <c r="D124" s="98">
        <v>151063.56</v>
      </c>
      <c r="E124" s="57">
        <f t="shared" si="3"/>
        <v>2617.0499999999884</v>
      </c>
    </row>
    <row r="125" spans="2:5" ht="12.75">
      <c r="B125" s="115" t="s">
        <v>364</v>
      </c>
      <c r="C125" s="10">
        <v>42069.4</v>
      </c>
      <c r="D125" s="98">
        <v>33617.04</v>
      </c>
      <c r="E125" s="57">
        <f t="shared" si="3"/>
        <v>-8452.36</v>
      </c>
    </row>
    <row r="126" spans="2:5" ht="12.75">
      <c r="B126" s="115" t="s">
        <v>633</v>
      </c>
      <c r="C126" s="10">
        <v>33698.17</v>
      </c>
      <c r="D126" s="98">
        <v>38297.24</v>
      </c>
      <c r="E126" s="57">
        <f t="shared" si="3"/>
        <v>4599.07</v>
      </c>
    </row>
    <row r="127" spans="2:5" ht="12.75">
      <c r="B127" s="115" t="s">
        <v>1061</v>
      </c>
      <c r="C127" s="10">
        <f>3500+3600</f>
        <v>7100</v>
      </c>
      <c r="D127" s="98">
        <f>4200+3300</f>
        <v>7500</v>
      </c>
      <c r="E127" s="57">
        <f t="shared" si="3"/>
        <v>400</v>
      </c>
    </row>
    <row r="128" spans="2:5" ht="12.75">
      <c r="B128" s="269" t="s">
        <v>1087</v>
      </c>
      <c r="C128" s="125">
        <v>22670.37</v>
      </c>
      <c r="D128" s="125">
        <v>23845.33</v>
      </c>
      <c r="E128" s="57">
        <f t="shared" si="3"/>
        <v>1174.9600000000028</v>
      </c>
    </row>
    <row r="129" spans="2:5" ht="12.75">
      <c r="B129" s="115" t="s">
        <v>432</v>
      </c>
      <c r="C129" s="125">
        <v>2108.05</v>
      </c>
      <c r="D129" s="125">
        <v>2108.05</v>
      </c>
      <c r="E129" s="123">
        <f t="shared" si="3"/>
        <v>0</v>
      </c>
    </row>
    <row r="130" spans="2:5" ht="13.5" thickBot="1">
      <c r="B130" s="266" t="s">
        <v>1088</v>
      </c>
      <c r="C130" s="142">
        <v>7534.61</v>
      </c>
      <c r="D130" s="142">
        <v>7534.61</v>
      </c>
      <c r="E130" s="219">
        <f t="shared" si="3"/>
        <v>0</v>
      </c>
    </row>
    <row r="131" spans="2:5" ht="13.5" thickBot="1">
      <c r="B131" s="177"/>
      <c r="C131" s="217">
        <f>SUM(C123:C130)</f>
        <v>562158.72</v>
      </c>
      <c r="D131" s="217">
        <f>SUM(D123:D130)</f>
        <v>564435.1599999999</v>
      </c>
      <c r="E131" s="217">
        <f>SUM(E123:E130)</f>
        <v>2276.4400000000205</v>
      </c>
    </row>
    <row r="132" spans="2:5" ht="13.5" thickBot="1">
      <c r="B132" s="366" t="s">
        <v>379</v>
      </c>
      <c r="C132" s="367"/>
      <c r="D132" s="367"/>
      <c r="E132" s="368"/>
    </row>
    <row r="133" spans="2:5" ht="13.5" thickBot="1">
      <c r="B133" s="153"/>
      <c r="C133" s="176">
        <f>C91+C97+C103+C112+C121+C131</f>
        <v>2206006.64</v>
      </c>
      <c r="D133" s="176">
        <f>D91+D97+D103+D112+D121+D131</f>
        <v>2361501.4699999997</v>
      </c>
      <c r="E133" s="176">
        <f>E91+E97+E103+E112+E121+E131</f>
        <v>155494.83000000005</v>
      </c>
    </row>
  </sheetData>
  <sheetProtection/>
  <mergeCells count="24">
    <mergeCell ref="B92:E92"/>
    <mergeCell ref="B98:E98"/>
    <mergeCell ref="B104:E104"/>
    <mergeCell ref="B113:E113"/>
    <mergeCell ref="B132:E132"/>
    <mergeCell ref="B122:E122"/>
    <mergeCell ref="D81:E81"/>
    <mergeCell ref="D82:E82"/>
    <mergeCell ref="D83:E83"/>
    <mergeCell ref="D84:E84"/>
    <mergeCell ref="D85:E85"/>
    <mergeCell ref="B88:E88"/>
    <mergeCell ref="A21:D21"/>
    <mergeCell ref="D25:E25"/>
    <mergeCell ref="D77:E77"/>
    <mergeCell ref="D78:E78"/>
    <mergeCell ref="D79:E79"/>
    <mergeCell ref="D80:E80"/>
    <mergeCell ref="A2:B2"/>
    <mergeCell ref="C2:E2"/>
    <mergeCell ref="C3:E3"/>
    <mergeCell ref="B4:E4"/>
    <mergeCell ref="A6:E6"/>
    <mergeCell ref="A20:D2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7.625" style="0" customWidth="1"/>
    <col min="3" max="3" width="10.25390625" style="0" customWidth="1"/>
    <col min="4" max="4" width="12.1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6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105</v>
      </c>
      <c r="C7" s="26"/>
      <c r="D7" s="24"/>
    </row>
    <row r="8" spans="1:4" ht="15">
      <c r="A8" s="26"/>
      <c r="B8" s="27" t="s">
        <v>115</v>
      </c>
      <c r="C8" s="38">
        <v>2685.1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366472.16</v>
      </c>
      <c r="D11" s="155">
        <v>376840.72</v>
      </c>
      <c r="E11" s="242">
        <f aca="true" t="shared" si="0" ref="E11:E16">D11-C11</f>
        <v>10368.559999999998</v>
      </c>
    </row>
    <row r="12" spans="1:5" ht="12.75">
      <c r="A12" s="84">
        <v>2</v>
      </c>
      <c r="B12" s="5" t="s">
        <v>637</v>
      </c>
      <c r="C12" s="10">
        <v>140503.45</v>
      </c>
      <c r="D12" s="34">
        <v>147573.06</v>
      </c>
      <c r="E12" s="57">
        <f t="shared" si="0"/>
        <v>7069.609999999986</v>
      </c>
    </row>
    <row r="13" spans="1:5" ht="12.75">
      <c r="A13" s="87">
        <v>3</v>
      </c>
      <c r="B13" s="5" t="s">
        <v>633</v>
      </c>
      <c r="C13" s="67">
        <v>49394.76</v>
      </c>
      <c r="D13" s="83">
        <v>51501.78</v>
      </c>
      <c r="E13" s="57">
        <f t="shared" si="0"/>
        <v>2107.019999999997</v>
      </c>
    </row>
    <row r="14" spans="1:5" ht="12.75">
      <c r="A14" s="84">
        <v>4</v>
      </c>
      <c r="B14" s="65" t="s">
        <v>364</v>
      </c>
      <c r="C14" s="94">
        <v>43096.19</v>
      </c>
      <c r="D14" s="83">
        <v>36522.31</v>
      </c>
      <c r="E14" s="57">
        <f t="shared" si="0"/>
        <v>-6573.880000000005</v>
      </c>
    </row>
    <row r="15" spans="1:5" ht="12.75">
      <c r="A15" s="84">
        <v>5</v>
      </c>
      <c r="B15" s="5" t="s">
        <v>1036</v>
      </c>
      <c r="C15" s="10">
        <v>9249.11</v>
      </c>
      <c r="D15" s="98">
        <v>9249.11</v>
      </c>
      <c r="E15" s="57">
        <f t="shared" si="0"/>
        <v>0</v>
      </c>
    </row>
    <row r="16" spans="1:5" ht="13.5" thickBot="1">
      <c r="A16" s="84">
        <v>6</v>
      </c>
      <c r="B16" s="65" t="s">
        <v>29</v>
      </c>
      <c r="C16" s="94">
        <f>2400+3600</f>
        <v>6000</v>
      </c>
      <c r="D16" s="83">
        <f>2400+3300</f>
        <v>5700</v>
      </c>
      <c r="E16" s="57">
        <f t="shared" si="0"/>
        <v>-300</v>
      </c>
    </row>
    <row r="17" spans="1:5" ht="13.5" thickBot="1">
      <c r="A17" s="208"/>
      <c r="B17" s="209"/>
      <c r="C17" s="135">
        <f>SUM(C11:C16)</f>
        <v>614715.67</v>
      </c>
      <c r="D17" s="135">
        <f>SUM(D11:D16)</f>
        <v>627386.9800000001</v>
      </c>
      <c r="E17" s="136">
        <f>SUM(E11:E16)</f>
        <v>12671.309999999976</v>
      </c>
    </row>
    <row r="18" spans="1:5" ht="12.75">
      <c r="A18" s="385" t="s">
        <v>793</v>
      </c>
      <c r="B18" s="386"/>
      <c r="C18" s="386"/>
      <c r="D18" s="386"/>
      <c r="E18" s="108">
        <f>E124</f>
        <v>80619.65000000002</v>
      </c>
    </row>
    <row r="19" spans="1:5" ht="12.75">
      <c r="A19" s="387" t="s">
        <v>794</v>
      </c>
      <c r="B19" s="384"/>
      <c r="C19" s="384"/>
      <c r="D19" s="384"/>
      <c r="E19" s="22">
        <v>237546.35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12.75">
      <c r="A22" s="86">
        <v>1</v>
      </c>
      <c r="B22" s="64" t="s">
        <v>368</v>
      </c>
      <c r="C22" s="80">
        <f>C57</f>
        <v>162591.52</v>
      </c>
      <c r="E22" s="29"/>
    </row>
    <row r="23" spans="1:5" ht="12.75" customHeight="1">
      <c r="A23" s="91">
        <v>2</v>
      </c>
      <c r="B23" s="25" t="s">
        <v>344</v>
      </c>
      <c r="C23" s="102">
        <f>C65</f>
        <v>11267.8</v>
      </c>
      <c r="D23" s="388"/>
      <c r="E23" s="389"/>
    </row>
    <row r="24" spans="1:5" ht="12.75">
      <c r="A24" s="84">
        <v>3</v>
      </c>
      <c r="B24" s="9" t="s">
        <v>649</v>
      </c>
      <c r="C24" s="48">
        <v>13004.5</v>
      </c>
      <c r="E24" s="29"/>
    </row>
    <row r="25" spans="1:5" ht="12.75">
      <c r="A25" s="84">
        <v>4</v>
      </c>
      <c r="B25" s="9" t="s">
        <v>122</v>
      </c>
      <c r="C25" s="48">
        <f>(C8*0.55*12)</f>
        <v>17721.66</v>
      </c>
      <c r="E25" s="29"/>
    </row>
    <row r="26" spans="1:5" ht="12.75">
      <c r="A26" s="84">
        <v>5</v>
      </c>
      <c r="B26" s="9" t="s">
        <v>658</v>
      </c>
      <c r="C26" s="79">
        <v>45681.48</v>
      </c>
      <c r="E26" s="29"/>
    </row>
    <row r="27" spans="1:5" ht="25.5">
      <c r="A27" s="91">
        <v>6</v>
      </c>
      <c r="B27" s="25" t="s">
        <v>1128</v>
      </c>
      <c r="C27" s="96">
        <v>2400</v>
      </c>
      <c r="E27" s="29"/>
    </row>
    <row r="28" spans="1:5" ht="25.5">
      <c r="A28" s="91">
        <v>7</v>
      </c>
      <c r="B28" s="25" t="s">
        <v>335</v>
      </c>
      <c r="C28" s="96">
        <v>4200</v>
      </c>
      <c r="E28" s="29"/>
    </row>
    <row r="29" spans="1:3" ht="12.75">
      <c r="A29" s="50"/>
      <c r="B29" s="20" t="s">
        <v>629</v>
      </c>
      <c r="C29" s="51">
        <f>SUM(C22:C28)</f>
        <v>256866.96</v>
      </c>
    </row>
    <row r="30" spans="1:3" ht="12.75">
      <c r="A30" s="49"/>
      <c r="B30" s="8" t="s">
        <v>965</v>
      </c>
      <c r="C30" s="45"/>
    </row>
    <row r="31" spans="1:3" ht="12.75">
      <c r="A31" s="84">
        <v>1</v>
      </c>
      <c r="B31" s="9" t="s">
        <v>228</v>
      </c>
      <c r="C31" s="48">
        <f>(C17)*15%</f>
        <v>92207.3505</v>
      </c>
    </row>
    <row r="32" spans="1:3" ht="12.75">
      <c r="A32" s="84">
        <v>2</v>
      </c>
      <c r="B32" s="9" t="s">
        <v>813</v>
      </c>
      <c r="C32" s="48">
        <f>C71</f>
        <v>5815.539420428765</v>
      </c>
    </row>
    <row r="33" spans="1:3" ht="12.75">
      <c r="A33" s="84">
        <v>3</v>
      </c>
      <c r="B33" s="9" t="s">
        <v>653</v>
      </c>
      <c r="C33" s="48">
        <f>C72</f>
        <v>6316.537521419923</v>
      </c>
    </row>
    <row r="34" spans="1:3" ht="12.75">
      <c r="A34" s="84">
        <v>4</v>
      </c>
      <c r="B34" s="9" t="s">
        <v>1114</v>
      </c>
      <c r="C34" s="52">
        <f>C73</f>
        <v>12822.823718613065</v>
      </c>
    </row>
    <row r="35" spans="1:3" ht="12.75">
      <c r="A35" s="84">
        <v>5</v>
      </c>
      <c r="B35" s="9" t="s">
        <v>162</v>
      </c>
      <c r="C35" s="52">
        <f>C74</f>
        <v>9369.467146312214</v>
      </c>
    </row>
    <row r="36" spans="1:3" ht="12.75">
      <c r="A36" s="84">
        <v>6</v>
      </c>
      <c r="B36" s="9" t="s">
        <v>1051</v>
      </c>
      <c r="C36" s="48">
        <f>C75+C77+C78+C79+C76</f>
        <v>15899.946137121507</v>
      </c>
    </row>
    <row r="37" spans="1:3" ht="12.75">
      <c r="A37" s="49"/>
      <c r="B37" s="74" t="s">
        <v>809</v>
      </c>
      <c r="C37" s="53"/>
    </row>
    <row r="38" spans="1:3" ht="12.75">
      <c r="A38" s="49"/>
      <c r="B38" s="5" t="s">
        <v>655</v>
      </c>
      <c r="C38" s="53"/>
    </row>
    <row r="39" spans="1:3" ht="12.75">
      <c r="A39" s="49"/>
      <c r="B39" s="74" t="s">
        <v>656</v>
      </c>
      <c r="C39" s="53"/>
    </row>
    <row r="40" spans="1:3" ht="12.75">
      <c r="A40" s="49"/>
      <c r="B40" s="74" t="s">
        <v>808</v>
      </c>
      <c r="C40" s="53"/>
    </row>
    <row r="41" spans="1:3" ht="12.75">
      <c r="A41" s="50"/>
      <c r="B41" s="20" t="s">
        <v>629</v>
      </c>
      <c r="C41" s="51">
        <f>C31+C32+C33+C34+C35+C36</f>
        <v>142431.66444389545</v>
      </c>
    </row>
    <row r="42" spans="1:3" ht="12.75">
      <c r="A42" s="49"/>
      <c r="B42" s="7" t="s">
        <v>966</v>
      </c>
      <c r="C42" s="45"/>
    </row>
    <row r="43" spans="1:3" ht="12.75">
      <c r="A43" s="84">
        <v>1</v>
      </c>
      <c r="B43" s="9" t="s">
        <v>631</v>
      </c>
      <c r="C43" s="48">
        <f>C17*2%</f>
        <v>12294.313400000001</v>
      </c>
    </row>
    <row r="44" spans="1:3" ht="12.75">
      <c r="A44" s="84">
        <v>2</v>
      </c>
      <c r="B44" s="9" t="s">
        <v>391</v>
      </c>
      <c r="C44" s="48">
        <f>C45</f>
        <v>36145.281396</v>
      </c>
    </row>
    <row r="45" spans="1:4" ht="12.75">
      <c r="A45" s="49"/>
      <c r="B45" s="5" t="s">
        <v>334</v>
      </c>
      <c r="C45" s="41">
        <f>(C17-C43)*6%</f>
        <v>36145.281396</v>
      </c>
      <c r="D45" s="19"/>
    </row>
    <row r="46" spans="1:3" ht="13.5" thickBot="1">
      <c r="A46" s="54"/>
      <c r="B46" s="55" t="s">
        <v>967</v>
      </c>
      <c r="C46" s="56">
        <f>C43+C44</f>
        <v>48439.594796</v>
      </c>
    </row>
    <row r="47" spans="1:3" ht="12.75">
      <c r="A47" s="23"/>
      <c r="B47" s="4" t="s">
        <v>288</v>
      </c>
      <c r="C47" s="11">
        <f>C29+C41+C46</f>
        <v>447738.2192398954</v>
      </c>
    </row>
    <row r="48" spans="1:3" ht="12.75">
      <c r="A48" s="23"/>
      <c r="B48" s="77"/>
      <c r="C48" s="1"/>
    </row>
    <row r="49" spans="1:3" ht="15">
      <c r="A49" s="23"/>
      <c r="B49" s="14" t="s">
        <v>812</v>
      </c>
      <c r="C49" s="1">
        <v>59378.93</v>
      </c>
    </row>
    <row r="50" spans="1:3" ht="15">
      <c r="A50" s="23"/>
      <c r="B50" s="14" t="s">
        <v>12</v>
      </c>
      <c r="C50" s="11">
        <v>59378.93</v>
      </c>
    </row>
    <row r="51" spans="1:3" ht="15">
      <c r="A51" s="23"/>
      <c r="B51" s="14" t="s">
        <v>94</v>
      </c>
      <c r="C51" s="11">
        <f>C17+C50-C47-C49</f>
        <v>166977.4507601047</v>
      </c>
    </row>
    <row r="52" ht="12.75">
      <c r="B52" s="1" t="s">
        <v>85</v>
      </c>
    </row>
    <row r="53" ht="15.75" customHeight="1">
      <c r="B53" s="1" t="s">
        <v>1197</v>
      </c>
    </row>
    <row r="54" spans="1:4" ht="12.75">
      <c r="A54" s="2"/>
      <c r="B54" s="2"/>
      <c r="C54" s="2" t="s">
        <v>790</v>
      </c>
      <c r="D54" s="2"/>
    </row>
    <row r="55" spans="1:4" ht="12.75">
      <c r="A55" s="2"/>
      <c r="B55" s="2"/>
      <c r="C55" s="2" t="s">
        <v>775</v>
      </c>
      <c r="D55" s="2"/>
    </row>
    <row r="56" spans="1:5" ht="13.5" thickBot="1">
      <c r="A56" s="37"/>
      <c r="B56" s="37" t="s">
        <v>969</v>
      </c>
      <c r="C56" s="32" t="s">
        <v>886</v>
      </c>
      <c r="D56" s="114">
        <f>C8</f>
        <v>2685.1</v>
      </c>
      <c r="E56" t="s">
        <v>116</v>
      </c>
    </row>
    <row r="57" spans="1:5" ht="12.75">
      <c r="A57" s="60" t="s">
        <v>218</v>
      </c>
      <c r="B57" s="39" t="s">
        <v>165</v>
      </c>
      <c r="C57" s="47">
        <v>162591.52</v>
      </c>
      <c r="D57" s="15"/>
      <c r="E57" s="21"/>
    </row>
    <row r="58" spans="1:5" ht="12.75">
      <c r="A58" s="61"/>
      <c r="B58" s="6" t="s">
        <v>118</v>
      </c>
      <c r="C58" s="41"/>
      <c r="D58" s="15"/>
      <c r="E58" s="21"/>
    </row>
    <row r="59" spans="1:5" ht="12.75">
      <c r="A59" s="62" t="s">
        <v>166</v>
      </c>
      <c r="B59" s="6" t="s">
        <v>380</v>
      </c>
      <c r="C59" s="41">
        <v>5621.5</v>
      </c>
      <c r="D59" s="15"/>
      <c r="E59" s="15"/>
    </row>
    <row r="60" spans="1:5" ht="12.75">
      <c r="A60" s="62" t="s">
        <v>166</v>
      </c>
      <c r="B60" s="6" t="s">
        <v>0</v>
      </c>
      <c r="C60" s="41">
        <v>11502.07</v>
      </c>
      <c r="D60" s="15"/>
      <c r="E60" s="15"/>
    </row>
    <row r="61" spans="1:5" ht="12.75">
      <c r="A61" s="62" t="s">
        <v>166</v>
      </c>
      <c r="B61" s="6" t="s">
        <v>785</v>
      </c>
      <c r="C61" s="41">
        <v>12200.27</v>
      </c>
      <c r="D61" s="15"/>
      <c r="E61" s="15"/>
    </row>
    <row r="62" spans="1:5" ht="12.75">
      <c r="A62" s="62" t="s">
        <v>166</v>
      </c>
      <c r="B62" s="6" t="s">
        <v>276</v>
      </c>
      <c r="C62" s="41">
        <v>866.67</v>
      </c>
      <c r="D62" s="15"/>
      <c r="E62" s="15"/>
    </row>
    <row r="63" spans="1:5" ht="12.75">
      <c r="A63" s="62" t="s">
        <v>166</v>
      </c>
      <c r="B63" s="6" t="s">
        <v>277</v>
      </c>
      <c r="C63" s="41">
        <v>2025</v>
      </c>
      <c r="D63" s="15"/>
      <c r="E63" s="15"/>
    </row>
    <row r="64" spans="1:5" ht="13.5" thickBot="1">
      <c r="A64" s="63" t="s">
        <v>166</v>
      </c>
      <c r="B64" s="42" t="s">
        <v>818</v>
      </c>
      <c r="C64" s="46">
        <v>2834.18</v>
      </c>
      <c r="D64" s="15"/>
      <c r="E64" s="15"/>
    </row>
    <row r="65" spans="1:5" ht="12.75">
      <c r="A65" s="60" t="s">
        <v>328</v>
      </c>
      <c r="B65" s="39" t="s">
        <v>343</v>
      </c>
      <c r="C65" s="47">
        <v>11267.8</v>
      </c>
      <c r="D65" s="15"/>
      <c r="E65" s="12"/>
    </row>
    <row r="66" spans="1:5" ht="12.75">
      <c r="A66" s="61"/>
      <c r="B66" s="6" t="s">
        <v>118</v>
      </c>
      <c r="C66" s="41"/>
      <c r="D66" s="15"/>
      <c r="E66" s="12"/>
    </row>
    <row r="67" spans="1:5" ht="12.75">
      <c r="A67" s="62" t="s">
        <v>166</v>
      </c>
      <c r="B67" s="6" t="s">
        <v>380</v>
      </c>
      <c r="C67" s="41">
        <v>889</v>
      </c>
      <c r="D67" s="15"/>
      <c r="E67" s="12"/>
    </row>
    <row r="68" spans="1:5" ht="13.5" thickBot="1">
      <c r="A68" s="63" t="s">
        <v>166</v>
      </c>
      <c r="B68" s="42" t="s">
        <v>818</v>
      </c>
      <c r="C68" s="46">
        <v>153.53</v>
      </c>
      <c r="D68" s="15"/>
      <c r="E68" s="15"/>
    </row>
    <row r="69" spans="1:5" ht="12.75">
      <c r="A69" s="300" t="s">
        <v>787</v>
      </c>
      <c r="B69" s="97" t="s">
        <v>1050</v>
      </c>
      <c r="C69" s="82">
        <f>C70+C71+C73+C72+C74+C75+C77+C78+C79+C76</f>
        <v>142431.66444389548</v>
      </c>
      <c r="D69" s="15"/>
      <c r="E69" s="12"/>
    </row>
    <row r="70" spans="1:5" ht="13.5" thickBot="1">
      <c r="A70" s="40" t="s">
        <v>166</v>
      </c>
      <c r="B70" s="6" t="s">
        <v>227</v>
      </c>
      <c r="C70" s="41">
        <f>C31</f>
        <v>92207.3505</v>
      </c>
      <c r="D70" s="15"/>
      <c r="E70" s="12"/>
    </row>
    <row r="71" spans="1:5" ht="12.75">
      <c r="A71" s="40" t="s">
        <v>166</v>
      </c>
      <c r="B71" s="6" t="s">
        <v>370</v>
      </c>
      <c r="C71" s="317">
        <f>401410.25/185335.63*C8</f>
        <v>5815.539420428765</v>
      </c>
      <c r="D71" s="375" t="s">
        <v>776</v>
      </c>
      <c r="E71" s="376"/>
    </row>
    <row r="72" spans="1:5" ht="12.75">
      <c r="A72" s="73" t="s">
        <v>166</v>
      </c>
      <c r="B72" s="74" t="s">
        <v>397</v>
      </c>
      <c r="C72" s="317">
        <f>435991.01/185335.63*C8</f>
        <v>6316.537521419923</v>
      </c>
      <c r="D72" s="377" t="s">
        <v>777</v>
      </c>
      <c r="E72" s="378"/>
    </row>
    <row r="73" spans="1:5" ht="12.75">
      <c r="A73" s="71" t="s">
        <v>166</v>
      </c>
      <c r="B73" s="72" t="s">
        <v>416</v>
      </c>
      <c r="C73" s="317">
        <f>1082167/226605.83*C8</f>
        <v>12822.823718613065</v>
      </c>
      <c r="D73" s="379" t="s">
        <v>778</v>
      </c>
      <c r="E73" s="380"/>
    </row>
    <row r="74" spans="1:5" ht="25.5">
      <c r="A74" s="73" t="s">
        <v>166</v>
      </c>
      <c r="B74" s="72" t="s">
        <v>231</v>
      </c>
      <c r="C74" s="318">
        <f>845684.35/242356.05*D56</f>
        <v>9369.467146312214</v>
      </c>
      <c r="D74" s="381" t="s">
        <v>779</v>
      </c>
      <c r="E74" s="382"/>
    </row>
    <row r="75" spans="1:5" ht="12.75">
      <c r="A75" s="73" t="s">
        <v>166</v>
      </c>
      <c r="B75" s="74" t="s">
        <v>808</v>
      </c>
      <c r="C75" s="318">
        <f>642562.44/242356.05*D56</f>
        <v>7119.048225303225</v>
      </c>
      <c r="D75" s="371" t="s">
        <v>780</v>
      </c>
      <c r="E75" s="372"/>
    </row>
    <row r="76" spans="1:5" ht="12.75">
      <c r="A76" s="73" t="s">
        <v>166</v>
      </c>
      <c r="B76" s="74" t="s">
        <v>826</v>
      </c>
      <c r="C76" s="318">
        <f>51615/196822.43*D56</f>
        <v>704.1445250929988</v>
      </c>
      <c r="D76" s="371" t="s">
        <v>781</v>
      </c>
      <c r="E76" s="372"/>
    </row>
    <row r="77" spans="1:5" ht="12.75">
      <c r="A77" s="73" t="s">
        <v>166</v>
      </c>
      <c r="B77" s="74" t="s">
        <v>655</v>
      </c>
      <c r="C77" s="318">
        <f>129011.28/196822.43*D56</f>
        <v>1760.003613043493</v>
      </c>
      <c r="D77" s="371" t="s">
        <v>782</v>
      </c>
      <c r="E77" s="372"/>
    </row>
    <row r="78" spans="1:5" ht="12.75">
      <c r="A78" s="73" t="s">
        <v>166</v>
      </c>
      <c r="B78" s="74" t="s">
        <v>656</v>
      </c>
      <c r="C78" s="318">
        <f>164128/196822.43*D56</f>
        <v>2239.074544501864</v>
      </c>
      <c r="D78" s="373" t="s">
        <v>783</v>
      </c>
      <c r="E78" s="374"/>
    </row>
    <row r="79" spans="1:5" ht="13.5" thickBot="1">
      <c r="A79" s="75" t="s">
        <v>166</v>
      </c>
      <c r="B79" s="76" t="s">
        <v>809</v>
      </c>
      <c r="C79" s="319">
        <f>298900.58/196822.43*D56</f>
        <v>4077.675229179926</v>
      </c>
      <c r="D79" s="369" t="s">
        <v>784</v>
      </c>
      <c r="E79" s="370"/>
    </row>
    <row r="80" ht="13.5" thickBot="1"/>
    <row r="81" spans="2:5" ht="26.25" thickBot="1">
      <c r="B81" s="143"/>
      <c r="C81" s="205" t="s">
        <v>104</v>
      </c>
      <c r="D81" s="236" t="s">
        <v>306</v>
      </c>
      <c r="E81" s="130" t="s">
        <v>305</v>
      </c>
    </row>
    <row r="82" spans="2:5" ht="13.5" thickBot="1">
      <c r="B82" s="363" t="s">
        <v>806</v>
      </c>
      <c r="C82" s="364"/>
      <c r="D82" s="364"/>
      <c r="E82" s="365"/>
    </row>
    <row r="83" spans="2:5" ht="12.75">
      <c r="B83" s="140" t="s">
        <v>285</v>
      </c>
      <c r="C83" s="234">
        <v>135263.04</v>
      </c>
      <c r="D83" s="218">
        <v>155764.8</v>
      </c>
      <c r="E83" s="44">
        <f>D83-C83</f>
        <v>20501.75999999998</v>
      </c>
    </row>
    <row r="84" spans="2:5" ht="12.75">
      <c r="B84" s="115" t="s">
        <v>637</v>
      </c>
      <c r="C84" s="10">
        <v>80636.4</v>
      </c>
      <c r="D84" s="99">
        <v>93244.03</v>
      </c>
      <c r="E84" s="45">
        <f>D84-C84</f>
        <v>12607.630000000005</v>
      </c>
    </row>
    <row r="85" spans="2:5" ht="13.5" thickBot="1">
      <c r="B85" s="157"/>
      <c r="C85" s="58">
        <f>SUM(C83:C84)</f>
        <v>215899.44</v>
      </c>
      <c r="D85" s="58">
        <f>SUM(D83:D84)</f>
        <v>249008.83</v>
      </c>
      <c r="E85" s="59">
        <f>SUM(E83:E84)</f>
        <v>33109.389999999985</v>
      </c>
    </row>
    <row r="86" spans="2:5" ht="13.5" thickBot="1">
      <c r="B86" s="393" t="s">
        <v>807</v>
      </c>
      <c r="C86" s="394"/>
      <c r="D86" s="394"/>
      <c r="E86" s="395"/>
    </row>
    <row r="87" spans="2:5" ht="12.75">
      <c r="B87" s="140" t="s">
        <v>285</v>
      </c>
      <c r="C87" s="234">
        <v>161518.22</v>
      </c>
      <c r="D87" s="218">
        <v>171010.32</v>
      </c>
      <c r="E87" s="44">
        <f>D87-C87</f>
        <v>9492.100000000006</v>
      </c>
    </row>
    <row r="88" spans="2:5" ht="12.75">
      <c r="B88" s="115" t="s">
        <v>637</v>
      </c>
      <c r="C88" s="10">
        <v>102464.54</v>
      </c>
      <c r="D88" s="99">
        <v>102047.63</v>
      </c>
      <c r="E88" s="45">
        <f>D88-C88</f>
        <v>-416.90999999998894</v>
      </c>
    </row>
    <row r="89" spans="2:5" ht="12.75">
      <c r="B89" s="115" t="s">
        <v>633</v>
      </c>
      <c r="C89" s="10">
        <v>25129.79</v>
      </c>
      <c r="D89" s="99">
        <v>28557.3</v>
      </c>
      <c r="E89" s="45">
        <f>D89-C89</f>
        <v>3427.5099999999984</v>
      </c>
    </row>
    <row r="90" spans="2:5" ht="13.5" thickBot="1">
      <c r="B90" s="124"/>
      <c r="C90" s="252">
        <f>SUM(C87:C89)</f>
        <v>289112.55</v>
      </c>
      <c r="D90" s="252">
        <f>SUM(D87:D89)</f>
        <v>301615.25</v>
      </c>
      <c r="E90" s="119">
        <f>SUM(E87:E89)</f>
        <v>12502.700000000015</v>
      </c>
    </row>
    <row r="91" spans="2:5" ht="13.5" thickBot="1">
      <c r="B91" s="363" t="s">
        <v>421</v>
      </c>
      <c r="C91" s="364"/>
      <c r="D91" s="364"/>
      <c r="E91" s="365"/>
    </row>
    <row r="92" spans="2:5" ht="12.75">
      <c r="B92" s="140" t="s">
        <v>285</v>
      </c>
      <c r="C92" s="223">
        <v>216247.2</v>
      </c>
      <c r="D92" s="223">
        <v>225895.85</v>
      </c>
      <c r="E92" s="44">
        <f>D92-C92</f>
        <v>9648.649999999994</v>
      </c>
    </row>
    <row r="93" spans="2:5" ht="12.75">
      <c r="B93" s="115" t="s">
        <v>637</v>
      </c>
      <c r="C93" s="28">
        <v>113460.35</v>
      </c>
      <c r="D93" s="18">
        <v>116868.61</v>
      </c>
      <c r="E93" s="45">
        <f>D93-C93</f>
        <v>3408.2599999999948</v>
      </c>
    </row>
    <row r="94" spans="2:5" ht="13.5" thickBot="1">
      <c r="B94" s="157" t="s">
        <v>408</v>
      </c>
      <c r="C94" s="263">
        <v>34966.49</v>
      </c>
      <c r="D94" s="215">
        <v>37239.9</v>
      </c>
      <c r="E94" s="46">
        <f>D94-C94</f>
        <v>2273.4100000000035</v>
      </c>
    </row>
    <row r="95" spans="2:5" ht="13.5" thickBot="1">
      <c r="B95" s="124"/>
      <c r="C95" s="252">
        <f>SUM(C92:C94)</f>
        <v>364674.04000000004</v>
      </c>
      <c r="D95" s="252">
        <f>SUM(D92:D94)</f>
        <v>380004.36000000004</v>
      </c>
      <c r="E95" s="119">
        <f>SUM(E92:E94)</f>
        <v>15330.319999999992</v>
      </c>
    </row>
    <row r="96" spans="2:5" ht="13.5" thickBot="1">
      <c r="B96" s="363" t="s">
        <v>1110</v>
      </c>
      <c r="C96" s="364"/>
      <c r="D96" s="364"/>
      <c r="E96" s="365"/>
    </row>
    <row r="97" spans="2:5" ht="12.75">
      <c r="B97" s="140" t="s">
        <v>285</v>
      </c>
      <c r="C97" s="234">
        <v>259430.83</v>
      </c>
      <c r="D97" s="218">
        <v>265206.81</v>
      </c>
      <c r="E97" s="253">
        <f>D97-C97</f>
        <v>5775.9800000000105</v>
      </c>
    </row>
    <row r="98" spans="2:5" ht="12.75">
      <c r="B98" s="115" t="s">
        <v>637</v>
      </c>
      <c r="C98" s="10">
        <v>127630.17</v>
      </c>
      <c r="D98" s="99">
        <v>130186.58</v>
      </c>
      <c r="E98" s="53">
        <f>D98-C98</f>
        <v>2556.4100000000035</v>
      </c>
    </row>
    <row r="99" spans="2:5" ht="13.5" thickBot="1">
      <c r="B99" s="156" t="s">
        <v>633</v>
      </c>
      <c r="C99" s="142">
        <v>47480.22</v>
      </c>
      <c r="D99" s="142">
        <v>48342.9</v>
      </c>
      <c r="E99" s="85">
        <f>D99-C99</f>
        <v>862.6800000000003</v>
      </c>
    </row>
    <row r="100" spans="2:5" ht="13.5" thickBot="1">
      <c r="B100" s="187"/>
      <c r="C100" s="254">
        <f>SUM(C97:C99)</f>
        <v>434541.22</v>
      </c>
      <c r="D100" s="255">
        <f>SUM(D97:D99)</f>
        <v>443736.29000000004</v>
      </c>
      <c r="E100" s="256">
        <f>SUM(E97:E99)</f>
        <v>9195.070000000014</v>
      </c>
    </row>
    <row r="101" spans="2:5" ht="13.5" thickBot="1">
      <c r="B101" s="363" t="s">
        <v>206</v>
      </c>
      <c r="C101" s="364"/>
      <c r="D101" s="364"/>
      <c r="E101" s="365"/>
    </row>
    <row r="102" spans="2:5" ht="12.75">
      <c r="B102" s="140" t="s">
        <v>285</v>
      </c>
      <c r="C102" s="234">
        <v>296956.97</v>
      </c>
      <c r="D102" s="218">
        <v>304083.37</v>
      </c>
      <c r="E102" s="253">
        <f>D102-C102</f>
        <v>7126.400000000023</v>
      </c>
    </row>
    <row r="103" spans="2:5" ht="12.75">
      <c r="B103" s="115" t="s">
        <v>637</v>
      </c>
      <c r="C103" s="10">
        <v>133159.6</v>
      </c>
      <c r="D103" s="99">
        <v>130183.34</v>
      </c>
      <c r="E103" s="53">
        <f>D103-C103</f>
        <v>-2976.2600000000093</v>
      </c>
    </row>
    <row r="104" spans="2:5" ht="12.75">
      <c r="B104" s="220" t="s">
        <v>633</v>
      </c>
      <c r="C104" s="125">
        <v>45625.71</v>
      </c>
      <c r="D104" s="125">
        <v>48335.4</v>
      </c>
      <c r="E104" s="81">
        <f>D104-C104</f>
        <v>2709.6900000000023</v>
      </c>
    </row>
    <row r="105" spans="2:5" ht="12.75">
      <c r="B105" s="269" t="s">
        <v>163</v>
      </c>
      <c r="C105" s="107">
        <v>4912</v>
      </c>
      <c r="D105" s="107">
        <v>4912</v>
      </c>
      <c r="E105" s="81">
        <f>D105-C105</f>
        <v>0</v>
      </c>
    </row>
    <row r="106" spans="2:5" ht="13.5" thickBot="1">
      <c r="B106" s="157" t="s">
        <v>1200</v>
      </c>
      <c r="C106" s="142">
        <v>6699.16</v>
      </c>
      <c r="D106" s="142">
        <v>6699.16</v>
      </c>
      <c r="E106" s="85">
        <v>0</v>
      </c>
    </row>
    <row r="107" spans="2:5" ht="13.5" thickBot="1">
      <c r="B107" s="187"/>
      <c r="C107" s="254">
        <f>SUM(C102:C106)</f>
        <v>487353.43999999994</v>
      </c>
      <c r="D107" s="255">
        <f>SUM(D102:D106)</f>
        <v>494213.26999999996</v>
      </c>
      <c r="E107" s="256">
        <f>SUM(E102:E106)</f>
        <v>6859.830000000016</v>
      </c>
    </row>
    <row r="108" spans="2:5" ht="13.5" thickBot="1">
      <c r="B108" s="363" t="s">
        <v>437</v>
      </c>
      <c r="C108" s="364"/>
      <c r="D108" s="364"/>
      <c r="E108" s="365"/>
    </row>
    <row r="109" spans="2:5" ht="12.75">
      <c r="B109" s="140" t="s">
        <v>285</v>
      </c>
      <c r="C109" s="234">
        <v>254219.59</v>
      </c>
      <c r="D109" s="218">
        <v>254567.76</v>
      </c>
      <c r="E109" s="253">
        <f>D109-C109</f>
        <v>348.1700000000128</v>
      </c>
    </row>
    <row r="110" spans="2:5" ht="12.75">
      <c r="B110" s="115" t="s">
        <v>637</v>
      </c>
      <c r="C110" s="10">
        <v>85337.98</v>
      </c>
      <c r="D110" s="99">
        <v>86788.8</v>
      </c>
      <c r="E110" s="53">
        <f>D110-C110</f>
        <v>1450.820000000007</v>
      </c>
    </row>
    <row r="111" spans="2:5" ht="12.75">
      <c r="B111" s="220" t="s">
        <v>633</v>
      </c>
      <c r="C111" s="125">
        <v>31573.04</v>
      </c>
      <c r="D111" s="125">
        <v>32223.6</v>
      </c>
      <c r="E111" s="81">
        <f>D111-C111</f>
        <v>650.5599999999977</v>
      </c>
    </row>
    <row r="112" spans="2:5" ht="12.75">
      <c r="B112" s="220" t="s">
        <v>811</v>
      </c>
      <c r="C112" s="125">
        <v>78639.82</v>
      </c>
      <c r="D112" s="125">
        <v>66641.3</v>
      </c>
      <c r="E112" s="81">
        <f>D112-C112</f>
        <v>-11998.520000000004</v>
      </c>
    </row>
    <row r="113" spans="2:5" ht="13.5" thickBot="1">
      <c r="B113" s="156" t="s">
        <v>792</v>
      </c>
      <c r="C113" s="142">
        <v>2100</v>
      </c>
      <c r="D113" s="142">
        <v>2600</v>
      </c>
      <c r="E113" s="85">
        <f>D113-C113</f>
        <v>500</v>
      </c>
    </row>
    <row r="114" spans="2:5" ht="13.5" thickBot="1">
      <c r="B114" s="187"/>
      <c r="C114" s="254">
        <f>SUM(C109:C113)</f>
        <v>451870.43</v>
      </c>
      <c r="D114" s="255">
        <f>SUM(D109:D113)</f>
        <v>442821.45999999996</v>
      </c>
      <c r="E114" s="256">
        <f>SUM(E109:E113)</f>
        <v>-9048.969999999987</v>
      </c>
    </row>
    <row r="115" spans="2:5" ht="13.5" thickBot="1">
      <c r="B115" s="363" t="s">
        <v>87</v>
      </c>
      <c r="C115" s="364"/>
      <c r="D115" s="364"/>
      <c r="E115" s="365"/>
    </row>
    <row r="116" spans="2:5" ht="12.75">
      <c r="B116" s="140" t="s">
        <v>285</v>
      </c>
      <c r="C116" s="234">
        <v>366472.16</v>
      </c>
      <c r="D116" s="155">
        <v>376840.72</v>
      </c>
      <c r="E116" s="253">
        <f aca="true" t="shared" si="1" ref="E116:E121">D116-C116</f>
        <v>10368.559999999998</v>
      </c>
    </row>
    <row r="117" spans="2:5" ht="12.75">
      <c r="B117" s="115" t="s">
        <v>637</v>
      </c>
      <c r="C117" s="10">
        <v>140503.45</v>
      </c>
      <c r="D117" s="34">
        <v>147573.06</v>
      </c>
      <c r="E117" s="53">
        <f t="shared" si="1"/>
        <v>7069.609999999986</v>
      </c>
    </row>
    <row r="118" spans="2:5" ht="12.75">
      <c r="B118" s="115" t="s">
        <v>633</v>
      </c>
      <c r="C118" s="67">
        <v>49394.76</v>
      </c>
      <c r="D118" s="83">
        <v>51501.78</v>
      </c>
      <c r="E118" s="53">
        <f t="shared" si="1"/>
        <v>2107.019999999997</v>
      </c>
    </row>
    <row r="119" spans="2:5" ht="12.75">
      <c r="B119" s="116" t="s">
        <v>364</v>
      </c>
      <c r="C119" s="94">
        <v>43096.19</v>
      </c>
      <c r="D119" s="83">
        <v>36522.31</v>
      </c>
      <c r="E119" s="53">
        <f t="shared" si="1"/>
        <v>-6573.880000000005</v>
      </c>
    </row>
    <row r="120" spans="2:5" ht="12.75">
      <c r="B120" s="115" t="s">
        <v>1036</v>
      </c>
      <c r="C120" s="10">
        <v>9249.11</v>
      </c>
      <c r="D120" s="98">
        <v>9249.11</v>
      </c>
      <c r="E120" s="53">
        <f t="shared" si="1"/>
        <v>0</v>
      </c>
    </row>
    <row r="121" spans="2:5" ht="12.75" customHeight="1" thickBot="1">
      <c r="B121" s="157" t="s">
        <v>29</v>
      </c>
      <c r="C121" s="247">
        <f>2400+3600</f>
        <v>6000</v>
      </c>
      <c r="D121" s="226">
        <f>2400+3300</f>
        <v>5700</v>
      </c>
      <c r="E121" s="262">
        <f t="shared" si="1"/>
        <v>-300</v>
      </c>
    </row>
    <row r="122" spans="2:5" ht="13.5" thickBot="1">
      <c r="B122" s="153"/>
      <c r="C122" s="152">
        <f>SUM(C116:C121)</f>
        <v>614715.67</v>
      </c>
      <c r="D122" s="138">
        <f>SUM(D116:D121)</f>
        <v>627386.9800000001</v>
      </c>
      <c r="E122" s="206">
        <f>SUM(E116:E121)</f>
        <v>12671.309999999976</v>
      </c>
    </row>
    <row r="123" spans="2:5" ht="13.5" thickBot="1">
      <c r="B123" s="366" t="s">
        <v>379</v>
      </c>
      <c r="C123" s="367"/>
      <c r="D123" s="367"/>
      <c r="E123" s="368"/>
    </row>
    <row r="124" spans="2:5" ht="13.5" thickBot="1">
      <c r="B124" s="153"/>
      <c r="C124" s="117">
        <f>C95+C100+C90+C85+C107+C114+C122</f>
        <v>2858166.79</v>
      </c>
      <c r="D124" s="117">
        <f>D95+D100+D90+D85+D107+D114+D122</f>
        <v>2938786.44</v>
      </c>
      <c r="E124" s="117">
        <f>E95+E100+E90+E85+E107+E114+E122</f>
        <v>80619.65000000002</v>
      </c>
    </row>
  </sheetData>
  <sheetProtection/>
  <mergeCells count="25">
    <mergeCell ref="A6:E6"/>
    <mergeCell ref="A18:D18"/>
    <mergeCell ref="A19:D19"/>
    <mergeCell ref="D23:E23"/>
    <mergeCell ref="A2:B2"/>
    <mergeCell ref="C2:E2"/>
    <mergeCell ref="C3:E3"/>
    <mergeCell ref="B4:E4"/>
    <mergeCell ref="D75:E75"/>
    <mergeCell ref="D76:E76"/>
    <mergeCell ref="D77:E77"/>
    <mergeCell ref="D78:E78"/>
    <mergeCell ref="D71:E71"/>
    <mergeCell ref="D72:E72"/>
    <mergeCell ref="D73:E73"/>
    <mergeCell ref="D74:E74"/>
    <mergeCell ref="B96:E96"/>
    <mergeCell ref="B101:E101"/>
    <mergeCell ref="B108:E108"/>
    <mergeCell ref="B123:E123"/>
    <mergeCell ref="B115:E115"/>
    <mergeCell ref="D79:E79"/>
    <mergeCell ref="B82:E82"/>
    <mergeCell ref="B86:E86"/>
    <mergeCell ref="B91:E9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5.625" style="0" customWidth="1"/>
    <col min="3" max="3" width="10.2539062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922</v>
      </c>
      <c r="C7" s="26"/>
      <c r="D7" s="24"/>
    </row>
    <row r="8" spans="1:4" ht="15">
      <c r="A8" s="26"/>
      <c r="B8" s="27" t="s">
        <v>115</v>
      </c>
      <c r="C8" s="38">
        <v>4172.6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489093.13</v>
      </c>
      <c r="D11" s="218">
        <v>510111.64</v>
      </c>
      <c r="E11" s="242">
        <f aca="true" t="shared" si="0" ref="E11:E16">D11-C11</f>
        <v>21018.51000000001</v>
      </c>
    </row>
    <row r="12" spans="1:5" ht="12.75">
      <c r="A12" s="84">
        <v>2</v>
      </c>
      <c r="B12" s="5" t="s">
        <v>637</v>
      </c>
      <c r="C12" s="10">
        <v>240894.34</v>
      </c>
      <c r="D12" s="98">
        <v>253612.08</v>
      </c>
      <c r="E12" s="57">
        <f t="shared" si="0"/>
        <v>12717.73999999999</v>
      </c>
    </row>
    <row r="13" spans="1:5" ht="12.75">
      <c r="A13" s="84">
        <v>3</v>
      </c>
      <c r="B13" s="5" t="s">
        <v>364</v>
      </c>
      <c r="C13" s="10">
        <v>70883.38</v>
      </c>
      <c r="D13" s="98">
        <v>64321.18</v>
      </c>
      <c r="E13" s="57">
        <f t="shared" si="0"/>
        <v>-6562.200000000004</v>
      </c>
    </row>
    <row r="14" spans="1:5" ht="12.75">
      <c r="A14" s="84">
        <v>4</v>
      </c>
      <c r="B14" s="5" t="s">
        <v>633</v>
      </c>
      <c r="C14" s="10">
        <v>63228.47</v>
      </c>
      <c r="D14" s="98">
        <v>68332.35</v>
      </c>
      <c r="E14" s="57">
        <f t="shared" si="0"/>
        <v>5103.880000000005</v>
      </c>
    </row>
    <row r="15" spans="1:5" ht="12.75">
      <c r="A15" s="84">
        <v>5</v>
      </c>
      <c r="B15" s="5" t="s">
        <v>1019</v>
      </c>
      <c r="C15" s="10">
        <v>56124.94</v>
      </c>
      <c r="D15" s="98">
        <v>56124.94</v>
      </c>
      <c r="E15" s="57">
        <f t="shared" si="0"/>
        <v>0</v>
      </c>
    </row>
    <row r="16" spans="1:5" ht="12.75">
      <c r="A16" s="84">
        <v>6</v>
      </c>
      <c r="B16" s="5" t="s">
        <v>29</v>
      </c>
      <c r="C16" s="10">
        <f>6000</f>
        <v>6000</v>
      </c>
      <c r="D16" s="98">
        <f>6400</f>
        <v>6400</v>
      </c>
      <c r="E16" s="57">
        <f t="shared" si="0"/>
        <v>400</v>
      </c>
    </row>
    <row r="17" spans="1:5" ht="13.5" thickBot="1">
      <c r="A17" s="250"/>
      <c r="B17" s="251"/>
      <c r="C17" s="118">
        <f>SUM(C11:C16)</f>
        <v>926224.26</v>
      </c>
      <c r="D17" s="118">
        <f>SUM(D11:D16)</f>
        <v>958902.19</v>
      </c>
      <c r="E17" s="137">
        <f>SUM(E11:E16)</f>
        <v>32677.93</v>
      </c>
    </row>
    <row r="18" spans="1:5" ht="12.75">
      <c r="A18" s="385" t="s">
        <v>793</v>
      </c>
      <c r="B18" s="386"/>
      <c r="C18" s="386"/>
      <c r="D18" s="386"/>
      <c r="E18" s="108">
        <f>E126</f>
        <v>129923.52000000005</v>
      </c>
    </row>
    <row r="19" spans="1:5" ht="12.75">
      <c r="A19" s="387" t="s">
        <v>794</v>
      </c>
      <c r="B19" s="384"/>
      <c r="C19" s="384"/>
      <c r="D19" s="384"/>
      <c r="E19" s="22">
        <v>300952.17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25.5">
      <c r="A22" s="86">
        <v>1</v>
      </c>
      <c r="B22" s="64" t="s">
        <v>934</v>
      </c>
      <c r="C22" s="80">
        <f>C58</f>
        <v>334542.82</v>
      </c>
      <c r="E22" s="29"/>
    </row>
    <row r="23" spans="1:5" ht="25.5">
      <c r="A23" s="91">
        <v>2</v>
      </c>
      <c r="B23" s="25" t="s">
        <v>935</v>
      </c>
      <c r="C23" s="102">
        <f>C66</f>
        <v>76341.33</v>
      </c>
      <c r="D23" s="388"/>
      <c r="E23" s="389"/>
    </row>
    <row r="24" spans="1:5" ht="12.75">
      <c r="A24" s="84">
        <v>3</v>
      </c>
      <c r="B24" s="9" t="s">
        <v>649</v>
      </c>
      <c r="C24" s="48">
        <v>248.86</v>
      </c>
      <c r="E24" s="29"/>
    </row>
    <row r="25" spans="1:5" ht="12.75">
      <c r="A25" s="84">
        <v>4</v>
      </c>
      <c r="B25" s="9" t="s">
        <v>122</v>
      </c>
      <c r="C25" s="48">
        <f>(C8*0.55*12)</f>
        <v>27539.160000000003</v>
      </c>
      <c r="E25" s="29"/>
    </row>
    <row r="26" spans="1:5" ht="12.75">
      <c r="A26" s="84">
        <v>5</v>
      </c>
      <c r="B26" s="9" t="s">
        <v>658</v>
      </c>
      <c r="C26" s="79">
        <v>63033.36</v>
      </c>
      <c r="E26" s="29"/>
    </row>
    <row r="27" spans="1:5" ht="12.75">
      <c r="A27" s="91">
        <v>6</v>
      </c>
      <c r="B27" s="25" t="s">
        <v>61</v>
      </c>
      <c r="C27" s="203">
        <v>5400</v>
      </c>
      <c r="E27" s="29"/>
    </row>
    <row r="28" spans="1:5" ht="12.75">
      <c r="A28" s="91">
        <v>7</v>
      </c>
      <c r="B28" s="346" t="s">
        <v>26</v>
      </c>
      <c r="C28" s="96">
        <v>600</v>
      </c>
      <c r="E28" s="29"/>
    </row>
    <row r="29" spans="1:5" ht="25.5">
      <c r="A29" s="91">
        <v>8</v>
      </c>
      <c r="B29" s="25" t="s">
        <v>60</v>
      </c>
      <c r="C29" s="96">
        <v>21400</v>
      </c>
      <c r="E29" s="29"/>
    </row>
    <row r="30" spans="1:5" ht="38.25">
      <c r="A30" s="91">
        <v>9</v>
      </c>
      <c r="B30" s="25" t="s">
        <v>852</v>
      </c>
      <c r="C30" s="79">
        <v>2401.5</v>
      </c>
      <c r="E30" s="29"/>
    </row>
    <row r="31" spans="1:3" ht="12.75">
      <c r="A31" s="50"/>
      <c r="B31" s="20" t="s">
        <v>629</v>
      </c>
      <c r="C31" s="51">
        <f>SUM(C22:C30)</f>
        <v>531507.03</v>
      </c>
    </row>
    <row r="32" spans="1:3" ht="12.75">
      <c r="A32" s="49"/>
      <c r="B32" s="8" t="s">
        <v>965</v>
      </c>
      <c r="C32" s="45"/>
    </row>
    <row r="33" spans="1:3" ht="12.75">
      <c r="A33" s="84">
        <v>1</v>
      </c>
      <c r="B33" s="9" t="s">
        <v>228</v>
      </c>
      <c r="C33" s="48">
        <f>(C17)*15%</f>
        <v>138933.639</v>
      </c>
    </row>
    <row r="34" spans="1:3" ht="12.75">
      <c r="A34" s="84">
        <v>2</v>
      </c>
      <c r="B34" s="9" t="s">
        <v>813</v>
      </c>
      <c r="C34" s="48">
        <f>C74</f>
        <v>9037.249929492782</v>
      </c>
    </row>
    <row r="35" spans="1:3" ht="12.75">
      <c r="A35" s="84">
        <v>3</v>
      </c>
      <c r="B35" s="9" t="s">
        <v>653</v>
      </c>
      <c r="C35" s="48">
        <f>C75</f>
        <v>9815.792507495726</v>
      </c>
    </row>
    <row r="36" spans="1:3" ht="12.75">
      <c r="A36" s="84">
        <v>4</v>
      </c>
      <c r="B36" s="9" t="s">
        <v>1114</v>
      </c>
      <c r="C36" s="52">
        <f>C76</f>
        <v>19926.45124884916</v>
      </c>
    </row>
    <row r="37" spans="1:3" ht="12.75">
      <c r="A37" s="84">
        <v>5</v>
      </c>
      <c r="B37" s="9" t="s">
        <v>162</v>
      </c>
      <c r="C37" s="52">
        <f>C77</f>
        <v>14559.99352526995</v>
      </c>
    </row>
    <row r="38" spans="1:3" ht="12.75">
      <c r="A38" s="84">
        <v>6</v>
      </c>
      <c r="B38" s="9" t="s">
        <v>1051</v>
      </c>
      <c r="C38" s="48">
        <f>C78+C80+C81+C82+C79</f>
        <v>24708.247458848167</v>
      </c>
    </row>
    <row r="39" spans="1:3" ht="12.75">
      <c r="A39" s="49"/>
      <c r="B39" s="74" t="s">
        <v>809</v>
      </c>
      <c r="C39" s="53"/>
    </row>
    <row r="40" spans="1:3" ht="12.75">
      <c r="A40" s="49"/>
      <c r="B40" s="5" t="s">
        <v>655</v>
      </c>
      <c r="C40" s="53"/>
    </row>
    <row r="41" spans="1:3" ht="12.75">
      <c r="A41" s="49"/>
      <c r="B41" s="74" t="s">
        <v>656</v>
      </c>
      <c r="C41" s="53"/>
    </row>
    <row r="42" spans="1:3" ht="12.75">
      <c r="A42" s="49"/>
      <c r="B42" s="74" t="s">
        <v>808</v>
      </c>
      <c r="C42" s="53"/>
    </row>
    <row r="43" spans="1:3" ht="12.75">
      <c r="A43" s="50"/>
      <c r="B43" s="20" t="s">
        <v>629</v>
      </c>
      <c r="C43" s="51">
        <f>C33+C34+C35+C36+C37+C38</f>
        <v>216981.37366995576</v>
      </c>
    </row>
    <row r="44" spans="1:3" ht="12.75">
      <c r="A44" s="49"/>
      <c r="B44" s="7" t="s">
        <v>966</v>
      </c>
      <c r="C44" s="45"/>
    </row>
    <row r="45" spans="1:3" ht="12.75">
      <c r="A45" s="84">
        <v>1</v>
      </c>
      <c r="B45" s="9" t="s">
        <v>631</v>
      </c>
      <c r="C45" s="48">
        <f>C17*2%</f>
        <v>18524.4852</v>
      </c>
    </row>
    <row r="46" spans="1:3" ht="12.75">
      <c r="A46" s="84">
        <v>2</v>
      </c>
      <c r="B46" s="9" t="s">
        <v>391</v>
      </c>
      <c r="C46" s="48">
        <f>C47</f>
        <v>54461.986488</v>
      </c>
    </row>
    <row r="47" spans="1:4" ht="12.75">
      <c r="A47" s="49"/>
      <c r="B47" s="5" t="s">
        <v>334</v>
      </c>
      <c r="C47" s="41">
        <f>(C17-C45)*6%</f>
        <v>54461.986488</v>
      </c>
      <c r="D47" s="19"/>
    </row>
    <row r="48" spans="1:3" ht="13.5" thickBot="1">
      <c r="A48" s="54"/>
      <c r="B48" s="55" t="s">
        <v>967</v>
      </c>
      <c r="C48" s="56">
        <f>C45+C46</f>
        <v>72986.471688</v>
      </c>
    </row>
    <row r="49" spans="1:3" ht="12.75">
      <c r="A49" s="23"/>
      <c r="B49" s="4" t="s">
        <v>288</v>
      </c>
      <c r="C49" s="11">
        <f>C31+C43+C48</f>
        <v>821474.8753579558</v>
      </c>
    </row>
    <row r="50" spans="1:3" ht="12.75">
      <c r="A50" s="23"/>
      <c r="B50" s="77"/>
      <c r="C50" s="1"/>
    </row>
    <row r="51" spans="1:3" ht="15">
      <c r="A51" s="23"/>
      <c r="B51" s="14" t="s">
        <v>975</v>
      </c>
      <c r="C51" s="11">
        <v>73903.76</v>
      </c>
    </row>
    <row r="52" spans="1:3" ht="15">
      <c r="A52" s="23"/>
      <c r="B52" s="14" t="s">
        <v>94</v>
      </c>
      <c r="C52" s="11">
        <f>C17+C51-C49</f>
        <v>178653.1446420442</v>
      </c>
    </row>
    <row r="53" ht="12.75">
      <c r="B53" s="1" t="s">
        <v>85</v>
      </c>
    </row>
    <row r="54" ht="18" customHeight="1">
      <c r="B54" s="1" t="s">
        <v>1197</v>
      </c>
    </row>
    <row r="55" spans="1:4" ht="12.75">
      <c r="A55" s="2"/>
      <c r="B55" s="2"/>
      <c r="C55" s="2" t="s">
        <v>790</v>
      </c>
      <c r="D55" s="2"/>
    </row>
    <row r="56" spans="1:4" ht="12.75">
      <c r="A56" s="2"/>
      <c r="B56" s="2"/>
      <c r="C56" s="2" t="s">
        <v>923</v>
      </c>
      <c r="D56" s="2"/>
    </row>
    <row r="57" spans="1:5" ht="13.5" thickBot="1">
      <c r="A57" s="37"/>
      <c r="B57" s="37" t="s">
        <v>969</v>
      </c>
      <c r="C57" s="32" t="s">
        <v>886</v>
      </c>
      <c r="D57" s="114">
        <f>C8</f>
        <v>4172.6</v>
      </c>
      <c r="E57" t="s">
        <v>116</v>
      </c>
    </row>
    <row r="58" spans="1:5" ht="12.75">
      <c r="A58" s="60" t="s">
        <v>218</v>
      </c>
      <c r="B58" s="39" t="s">
        <v>287</v>
      </c>
      <c r="C58" s="47">
        <v>334542.82</v>
      </c>
      <c r="D58" s="15"/>
      <c r="E58" s="21"/>
    </row>
    <row r="59" spans="1:5" ht="12.75">
      <c r="A59" s="61"/>
      <c r="B59" s="6" t="s">
        <v>118</v>
      </c>
      <c r="C59" s="41"/>
      <c r="D59" s="15"/>
      <c r="E59" s="21"/>
    </row>
    <row r="60" spans="1:5" ht="12.75">
      <c r="A60" s="62" t="s">
        <v>166</v>
      </c>
      <c r="B60" s="6" t="s">
        <v>380</v>
      </c>
      <c r="C60" s="41">
        <v>19796.09</v>
      </c>
      <c r="D60" s="15"/>
      <c r="E60" s="15"/>
    </row>
    <row r="61" spans="1:5" ht="12.75">
      <c r="A61" s="62" t="s">
        <v>166</v>
      </c>
      <c r="B61" s="6" t="s">
        <v>229</v>
      </c>
      <c r="C61" s="41">
        <v>7660.28</v>
      </c>
      <c r="D61" s="15"/>
      <c r="E61" s="15"/>
    </row>
    <row r="62" spans="1:5" ht="12.75">
      <c r="A62" s="62" t="s">
        <v>166</v>
      </c>
      <c r="B62" s="6" t="s">
        <v>1144</v>
      </c>
      <c r="C62" s="41">
        <v>14456.94</v>
      </c>
      <c r="D62" s="15"/>
      <c r="E62" s="15"/>
    </row>
    <row r="63" spans="1:5" ht="12.75">
      <c r="A63" s="62" t="s">
        <v>166</v>
      </c>
      <c r="B63" s="6" t="s">
        <v>933</v>
      </c>
      <c r="C63" s="41">
        <v>2783</v>
      </c>
      <c r="D63" s="15"/>
      <c r="E63" s="15"/>
    </row>
    <row r="64" spans="1:5" ht="12.75">
      <c r="A64" s="62" t="s">
        <v>166</v>
      </c>
      <c r="B64" s="6" t="s">
        <v>281</v>
      </c>
      <c r="C64" s="41">
        <v>69373.98</v>
      </c>
      <c r="D64" s="15"/>
      <c r="E64" s="15"/>
    </row>
    <row r="65" spans="1:5" ht="13.5" thickBot="1">
      <c r="A65" s="63" t="s">
        <v>166</v>
      </c>
      <c r="B65" s="42" t="s">
        <v>818</v>
      </c>
      <c r="C65" s="46">
        <v>2234.35</v>
      </c>
      <c r="D65" s="15"/>
      <c r="E65" s="15"/>
    </row>
    <row r="66" spans="1:5" ht="12.75">
      <c r="A66" s="60" t="s">
        <v>328</v>
      </c>
      <c r="B66" s="39" t="s">
        <v>343</v>
      </c>
      <c r="C66" s="47">
        <v>76341.33</v>
      </c>
      <c r="D66" s="15"/>
      <c r="E66" s="12"/>
    </row>
    <row r="67" spans="1:5" ht="12.75">
      <c r="A67" s="61"/>
      <c r="B67" s="6" t="s">
        <v>118</v>
      </c>
      <c r="C67" s="41"/>
      <c r="D67" s="15"/>
      <c r="E67" s="12"/>
    </row>
    <row r="68" spans="1:5" ht="12.75">
      <c r="A68" s="62" t="s">
        <v>166</v>
      </c>
      <c r="B68" s="6" t="s">
        <v>380</v>
      </c>
      <c r="C68" s="41">
        <v>355</v>
      </c>
      <c r="D68" s="15"/>
      <c r="E68" s="12"/>
    </row>
    <row r="69" spans="1:5" ht="12.75">
      <c r="A69" s="62" t="s">
        <v>166</v>
      </c>
      <c r="B69" s="6" t="s">
        <v>1056</v>
      </c>
      <c r="C69" s="41">
        <v>30910.48</v>
      </c>
      <c r="D69" s="15"/>
      <c r="E69" s="12"/>
    </row>
    <row r="70" spans="1:5" ht="12.75">
      <c r="A70" s="62" t="s">
        <v>166</v>
      </c>
      <c r="B70" s="6" t="s">
        <v>936</v>
      </c>
      <c r="C70" s="41">
        <v>31816.19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238.59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216981.37366995576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C33</f>
        <v>138933.639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9037.249929492782</v>
      </c>
      <c r="D74" s="375" t="s">
        <v>924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9815.792507495726</v>
      </c>
      <c r="D75" s="377" t="s">
        <v>925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19926.45124884916</v>
      </c>
      <c r="D76" s="379" t="s">
        <v>926</v>
      </c>
      <c r="E76" s="380"/>
    </row>
    <row r="77" spans="1:5" ht="25.5">
      <c r="A77" s="73" t="s">
        <v>166</v>
      </c>
      <c r="B77" s="72" t="s">
        <v>231</v>
      </c>
      <c r="C77" s="318">
        <f>845684.35/242356.05*D57</f>
        <v>14559.99352526995</v>
      </c>
      <c r="D77" s="381" t="s">
        <v>927</v>
      </c>
      <c r="E77" s="382"/>
    </row>
    <row r="78" spans="1:5" ht="12.75">
      <c r="A78" s="73" t="s">
        <v>166</v>
      </c>
      <c r="B78" s="74" t="s">
        <v>808</v>
      </c>
      <c r="C78" s="318">
        <f>642562.44/242356.05*D57</f>
        <v>11062.880572381007</v>
      </c>
      <c r="D78" s="371" t="s">
        <v>928</v>
      </c>
      <c r="E78" s="372"/>
    </row>
    <row r="79" spans="1:5" ht="12.75">
      <c r="A79" s="73" t="s">
        <v>166</v>
      </c>
      <c r="B79" s="74" t="s">
        <v>826</v>
      </c>
      <c r="C79" s="318">
        <f>51615/196822.43*D57</f>
        <v>1094.2286862325602</v>
      </c>
      <c r="D79" s="371" t="s">
        <v>929</v>
      </c>
      <c r="E79" s="372"/>
    </row>
    <row r="80" spans="1:5" ht="12.75">
      <c r="A80" s="73" t="s">
        <v>166</v>
      </c>
      <c r="B80" s="74" t="s">
        <v>655</v>
      </c>
      <c r="C80" s="318">
        <f>129011.28/196822.43*D57</f>
        <v>2735.0158563127184</v>
      </c>
      <c r="D80" s="371" t="s">
        <v>930</v>
      </c>
      <c r="E80" s="372"/>
    </row>
    <row r="81" spans="1:5" ht="12.75">
      <c r="A81" s="73" t="s">
        <v>166</v>
      </c>
      <c r="B81" s="74" t="s">
        <v>656</v>
      </c>
      <c r="C81" s="318">
        <f>164128/196822.43*D57</f>
        <v>3479.4839836089823</v>
      </c>
      <c r="D81" s="373" t="s">
        <v>931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298900.58/196822.43*D57</f>
        <v>6336.638360312898</v>
      </c>
      <c r="D82" s="369" t="s">
        <v>932</v>
      </c>
      <c r="E82" s="370"/>
    </row>
    <row r="83" ht="13.5" thickBot="1"/>
    <row r="84" spans="2:5" ht="26.25" thickBot="1">
      <c r="B84" s="143"/>
      <c r="C84" s="205" t="s">
        <v>104</v>
      </c>
      <c r="D84" s="236" t="s">
        <v>306</v>
      </c>
      <c r="E84" s="130" t="s">
        <v>305</v>
      </c>
    </row>
    <row r="85" spans="2:5" ht="13.5" thickBot="1">
      <c r="B85" s="363" t="s">
        <v>806</v>
      </c>
      <c r="C85" s="364"/>
      <c r="D85" s="364"/>
      <c r="E85" s="365"/>
    </row>
    <row r="86" spans="2:5" ht="12.75">
      <c r="B86" s="140" t="s">
        <v>285</v>
      </c>
      <c r="C86" s="234">
        <v>223769.96</v>
      </c>
      <c r="D86" s="218">
        <v>252770.11</v>
      </c>
      <c r="E86" s="44">
        <f>D86-C86</f>
        <v>29000.149999999994</v>
      </c>
    </row>
    <row r="87" spans="2:5" ht="12.75">
      <c r="B87" s="115" t="s">
        <v>637</v>
      </c>
      <c r="C87" s="10">
        <v>133360.21</v>
      </c>
      <c r="D87" s="99">
        <v>151461.46</v>
      </c>
      <c r="E87" s="45">
        <f>D87-C87</f>
        <v>18101.25</v>
      </c>
    </row>
    <row r="88" spans="2:5" ht="13.5" thickBot="1">
      <c r="B88" s="157"/>
      <c r="C88" s="59">
        <f>SUM(C86:C87)</f>
        <v>357130.17</v>
      </c>
      <c r="D88" s="59">
        <f>SUM(D86:D87)</f>
        <v>404231.56999999995</v>
      </c>
      <c r="E88" s="59">
        <f>SUM(E86:E87)</f>
        <v>47101.399999999994</v>
      </c>
    </row>
    <row r="89" spans="2:5" ht="13.5" thickBot="1">
      <c r="B89" s="393" t="s">
        <v>807</v>
      </c>
      <c r="C89" s="394"/>
      <c r="D89" s="394"/>
      <c r="E89" s="395"/>
    </row>
    <row r="90" spans="2:5" ht="12.75">
      <c r="B90" s="140" t="s">
        <v>285</v>
      </c>
      <c r="C90" s="234">
        <v>275735.07</v>
      </c>
      <c r="D90" s="218">
        <v>279784.74</v>
      </c>
      <c r="E90" s="44">
        <f>D90-C90</f>
        <v>4049.6699999999837</v>
      </c>
    </row>
    <row r="91" spans="2:5" ht="12.75">
      <c r="B91" s="115" t="s">
        <v>637</v>
      </c>
      <c r="C91" s="10">
        <v>159881.09</v>
      </c>
      <c r="D91" s="99">
        <v>165934.38</v>
      </c>
      <c r="E91" s="45">
        <f>D91-C91</f>
        <v>6053.290000000008</v>
      </c>
    </row>
    <row r="92" spans="2:5" ht="13.5" thickBot="1">
      <c r="B92" s="124"/>
      <c r="C92" s="252">
        <f>SUM(C90:C91)</f>
        <v>435616.16000000003</v>
      </c>
      <c r="D92" s="252">
        <f>SUM(D90:D91)</f>
        <v>445719.12</v>
      </c>
      <c r="E92" s="119">
        <f>SUM(E90:E91)</f>
        <v>10102.959999999992</v>
      </c>
    </row>
    <row r="93" spans="2:5" ht="13.5" thickBot="1">
      <c r="B93" s="363" t="s">
        <v>421</v>
      </c>
      <c r="C93" s="364"/>
      <c r="D93" s="364"/>
      <c r="E93" s="365"/>
    </row>
    <row r="94" spans="2:5" ht="12.75">
      <c r="B94" s="140" t="s">
        <v>285</v>
      </c>
      <c r="C94" s="223">
        <v>357504.74</v>
      </c>
      <c r="D94" s="223">
        <v>372267.28</v>
      </c>
      <c r="E94" s="44">
        <f>D94-C94</f>
        <v>14762.540000000037</v>
      </c>
    </row>
    <row r="95" spans="2:5" ht="12.75">
      <c r="B95" s="115" t="s">
        <v>637</v>
      </c>
      <c r="C95" s="28">
        <v>186011.17</v>
      </c>
      <c r="D95" s="18">
        <v>190140.1</v>
      </c>
      <c r="E95" s="45">
        <f>D95-C95</f>
        <v>4128.929999999993</v>
      </c>
    </row>
    <row r="96" spans="2:5" ht="12.75">
      <c r="B96" s="116" t="s">
        <v>408</v>
      </c>
      <c r="C96" s="89">
        <v>15114.29</v>
      </c>
      <c r="D96" s="103">
        <v>18972.9</v>
      </c>
      <c r="E96" s="45">
        <f>D96-C96</f>
        <v>3858.6100000000006</v>
      </c>
    </row>
    <row r="97" spans="2:5" ht="26.25" thickBot="1">
      <c r="B97" s="266" t="s">
        <v>1046</v>
      </c>
      <c r="C97" s="224">
        <v>2500</v>
      </c>
      <c r="D97" s="267">
        <v>2500</v>
      </c>
      <c r="E97" s="246">
        <f>D97-C97</f>
        <v>0</v>
      </c>
    </row>
    <row r="98" spans="2:5" ht="13.5" thickBot="1">
      <c r="B98" s="124"/>
      <c r="C98" s="252">
        <f>SUM(C94:C97)</f>
        <v>561130.2000000001</v>
      </c>
      <c r="D98" s="252">
        <f>SUM(D94:D97)</f>
        <v>583880.28</v>
      </c>
      <c r="E98" s="119">
        <f>SUM(E94:E97)</f>
        <v>22750.08000000003</v>
      </c>
    </row>
    <row r="99" spans="2:5" ht="13.5" thickBot="1">
      <c r="B99" s="363" t="s">
        <v>1110</v>
      </c>
      <c r="C99" s="364"/>
      <c r="D99" s="364"/>
      <c r="E99" s="365"/>
    </row>
    <row r="100" spans="2:5" ht="12.75">
      <c r="B100" s="141" t="s">
        <v>285</v>
      </c>
      <c r="C100" s="234">
        <v>437337.89</v>
      </c>
      <c r="D100" s="218">
        <v>435702.96</v>
      </c>
      <c r="E100" s="253">
        <f>D100-C100</f>
        <v>-1634.929999999993</v>
      </c>
    </row>
    <row r="101" spans="2:5" ht="12.75">
      <c r="B101" s="5" t="s">
        <v>637</v>
      </c>
      <c r="C101" s="10">
        <v>210387.03</v>
      </c>
      <c r="D101" s="99">
        <v>211841.78</v>
      </c>
      <c r="E101" s="53">
        <f>D101-C101</f>
        <v>1454.75</v>
      </c>
    </row>
    <row r="102" spans="2:5" ht="13.5" thickBot="1">
      <c r="B102" s="244" t="s">
        <v>633</v>
      </c>
      <c r="C102" s="142">
        <v>56865.9</v>
      </c>
      <c r="D102" s="142">
        <v>56536.18</v>
      </c>
      <c r="E102" s="85">
        <f>D102-C102</f>
        <v>-329.72000000000116</v>
      </c>
    </row>
    <row r="103" spans="2:5" ht="13.5" thickBot="1">
      <c r="B103" s="187"/>
      <c r="C103" s="254">
        <f>SUM(C100:C102)</f>
        <v>704590.8200000001</v>
      </c>
      <c r="D103" s="255">
        <f>SUM(D100:D102)</f>
        <v>704080.92</v>
      </c>
      <c r="E103" s="256">
        <f>SUM(E100:E102)</f>
        <v>-509.8999999999942</v>
      </c>
    </row>
    <row r="104" spans="2:5" ht="13.5" thickBot="1">
      <c r="B104" s="363" t="s">
        <v>206</v>
      </c>
      <c r="C104" s="364"/>
      <c r="D104" s="364"/>
      <c r="E104" s="365"/>
    </row>
    <row r="105" spans="2:5" ht="12.75">
      <c r="B105" s="140" t="s">
        <v>285</v>
      </c>
      <c r="C105" s="234">
        <v>441406.54</v>
      </c>
      <c r="D105" s="218">
        <v>454535.27</v>
      </c>
      <c r="E105" s="339">
        <f>D105-C105</f>
        <v>13128.73000000004</v>
      </c>
    </row>
    <row r="106" spans="2:5" ht="12.75">
      <c r="B106" s="115" t="s">
        <v>637</v>
      </c>
      <c r="C106" s="10">
        <v>216559.2</v>
      </c>
      <c r="D106" s="99">
        <v>221007.97</v>
      </c>
      <c r="E106" s="81">
        <f>D106-C106</f>
        <v>4448.7699999999895</v>
      </c>
    </row>
    <row r="107" spans="2:5" ht="12.75">
      <c r="B107" s="220" t="s">
        <v>633</v>
      </c>
      <c r="C107" s="125">
        <v>57385.71</v>
      </c>
      <c r="D107" s="125">
        <v>58844.2</v>
      </c>
      <c r="E107" s="81">
        <f>D107-C107</f>
        <v>1458.489999999998</v>
      </c>
    </row>
    <row r="108" spans="2:5" ht="13.5" thickBot="1">
      <c r="B108" s="157" t="s">
        <v>1200</v>
      </c>
      <c r="C108" s="142">
        <v>29821.6</v>
      </c>
      <c r="D108" s="142">
        <v>29821.6</v>
      </c>
      <c r="E108" s="85">
        <v>0</v>
      </c>
    </row>
    <row r="109" spans="2:5" ht="13.5" thickBot="1">
      <c r="B109" s="187"/>
      <c r="C109" s="254">
        <f>SUM(C105:C108)</f>
        <v>745173.0499999999</v>
      </c>
      <c r="D109" s="255">
        <f>SUM(D105:D108)</f>
        <v>764209.0399999999</v>
      </c>
      <c r="E109" s="256">
        <f>SUM(E105:E108)</f>
        <v>19035.990000000027</v>
      </c>
    </row>
    <row r="110" spans="2:5" ht="13.5" thickBot="1">
      <c r="B110" s="363" t="s">
        <v>437</v>
      </c>
      <c r="C110" s="364"/>
      <c r="D110" s="364"/>
      <c r="E110" s="365"/>
    </row>
    <row r="111" spans="2:5" ht="12.75">
      <c r="B111" s="140" t="s">
        <v>285</v>
      </c>
      <c r="C111" s="234">
        <v>336408.72</v>
      </c>
      <c r="D111" s="218">
        <v>325242.85</v>
      </c>
      <c r="E111" s="253">
        <f>D111-C111</f>
        <v>-11165.869999999995</v>
      </c>
    </row>
    <row r="112" spans="2:5" ht="12.75">
      <c r="B112" s="115" t="s">
        <v>637</v>
      </c>
      <c r="C112" s="10">
        <v>166309.16</v>
      </c>
      <c r="D112" s="99">
        <v>159560.56</v>
      </c>
      <c r="E112" s="53">
        <f>D112-C112</f>
        <v>-6748.600000000006</v>
      </c>
    </row>
    <row r="113" spans="2:5" ht="12.75">
      <c r="B113" s="220" t="s">
        <v>633</v>
      </c>
      <c r="C113" s="125">
        <v>44291.73</v>
      </c>
      <c r="D113" s="125">
        <v>45452.11</v>
      </c>
      <c r="E113" s="81">
        <f>D113-C113</f>
        <v>1160.3799999999974</v>
      </c>
    </row>
    <row r="114" spans="2:5" ht="12.75">
      <c r="B114" s="220" t="s">
        <v>811</v>
      </c>
      <c r="C114" s="125">
        <v>140425.6</v>
      </c>
      <c r="D114" s="125">
        <v>155744.75</v>
      </c>
      <c r="E114" s="81">
        <f>D114-C114</f>
        <v>15319.149999999994</v>
      </c>
    </row>
    <row r="115" spans="2:5" ht="13.5" thickBot="1">
      <c r="B115" s="156" t="s">
        <v>792</v>
      </c>
      <c r="C115" s="142">
        <v>1200</v>
      </c>
      <c r="D115" s="142">
        <v>1400</v>
      </c>
      <c r="E115" s="85">
        <f>D115-C115</f>
        <v>200</v>
      </c>
    </row>
    <row r="116" spans="2:5" ht="13.5" thickBot="1">
      <c r="B116" s="187"/>
      <c r="C116" s="254">
        <f>SUM(C111:C115)</f>
        <v>688635.21</v>
      </c>
      <c r="D116" s="255">
        <f>SUM(D111:D115)</f>
        <v>687400.27</v>
      </c>
      <c r="E116" s="256">
        <f>SUM(E111:E115)</f>
        <v>-1234.9400000000096</v>
      </c>
    </row>
    <row r="117" spans="2:5" ht="13.5" thickBot="1">
      <c r="B117" s="363" t="s">
        <v>87</v>
      </c>
      <c r="C117" s="364"/>
      <c r="D117" s="364"/>
      <c r="E117" s="365"/>
    </row>
    <row r="118" spans="2:5" ht="12.75">
      <c r="B118" s="140" t="s">
        <v>285</v>
      </c>
      <c r="C118" s="234">
        <v>489093.13</v>
      </c>
      <c r="D118" s="218">
        <v>510111.64</v>
      </c>
      <c r="E118" s="253">
        <f aca="true" t="shared" si="1" ref="E118:E123">D118-C118</f>
        <v>21018.51000000001</v>
      </c>
    </row>
    <row r="119" spans="2:5" ht="12.75">
      <c r="B119" s="115" t="s">
        <v>637</v>
      </c>
      <c r="C119" s="10">
        <v>240894.34</v>
      </c>
      <c r="D119" s="98">
        <v>253612.08</v>
      </c>
      <c r="E119" s="53">
        <f t="shared" si="1"/>
        <v>12717.73999999999</v>
      </c>
    </row>
    <row r="120" spans="2:5" ht="12.75">
      <c r="B120" s="115" t="s">
        <v>364</v>
      </c>
      <c r="C120" s="10">
        <v>70883.38</v>
      </c>
      <c r="D120" s="98">
        <v>64321.18</v>
      </c>
      <c r="E120" s="81">
        <f t="shared" si="1"/>
        <v>-6562.200000000004</v>
      </c>
    </row>
    <row r="121" spans="2:5" ht="12.75">
      <c r="B121" s="115" t="s">
        <v>633</v>
      </c>
      <c r="C121" s="10">
        <v>63228.47</v>
      </c>
      <c r="D121" s="98">
        <v>68332.35</v>
      </c>
      <c r="E121" s="81">
        <f>D121-C121</f>
        <v>5103.880000000005</v>
      </c>
    </row>
    <row r="122" spans="2:5" ht="12.75">
      <c r="B122" s="115" t="s">
        <v>1019</v>
      </c>
      <c r="C122" s="10">
        <v>56124.94</v>
      </c>
      <c r="D122" s="98">
        <v>56124.94</v>
      </c>
      <c r="E122" s="81">
        <f t="shared" si="1"/>
        <v>0</v>
      </c>
    </row>
    <row r="123" spans="2:5" ht="13.5" thickBot="1">
      <c r="B123" s="157" t="s">
        <v>29</v>
      </c>
      <c r="C123" s="225">
        <f>6000</f>
        <v>6000</v>
      </c>
      <c r="D123" s="227">
        <f>6400</f>
        <v>6400</v>
      </c>
      <c r="E123" s="85">
        <f t="shared" si="1"/>
        <v>400</v>
      </c>
    </row>
    <row r="124" spans="2:5" ht="13.5" thickBot="1">
      <c r="B124" s="324"/>
      <c r="C124" s="119">
        <f>SUM(C118:C123)</f>
        <v>926224.26</v>
      </c>
      <c r="D124" s="119">
        <f>SUM(D118:D123)</f>
        <v>958902.19</v>
      </c>
      <c r="E124" s="119">
        <f>SUM(E118:E123)</f>
        <v>32677.93</v>
      </c>
    </row>
    <row r="125" spans="2:5" ht="13.5" thickBot="1">
      <c r="B125" s="366" t="s">
        <v>379</v>
      </c>
      <c r="C125" s="367"/>
      <c r="D125" s="367"/>
      <c r="E125" s="368"/>
    </row>
    <row r="126" spans="2:5" ht="13.5" thickBot="1">
      <c r="B126" s="153"/>
      <c r="C126" s="117">
        <f>C88+C92+C98+C103+C109+C116+C124</f>
        <v>4418499.87</v>
      </c>
      <c r="D126" s="117">
        <f>D88+D92+D98+D103+D109+D116+D124</f>
        <v>4548423.390000001</v>
      </c>
      <c r="E126" s="117">
        <f>E88+E92+E98+E103+E109+E116+E124</f>
        <v>129923.52000000005</v>
      </c>
    </row>
  </sheetData>
  <sheetProtection/>
  <mergeCells count="25">
    <mergeCell ref="A6:E6"/>
    <mergeCell ref="A18:D18"/>
    <mergeCell ref="A19:D19"/>
    <mergeCell ref="D23:E23"/>
    <mergeCell ref="A2:B2"/>
    <mergeCell ref="C2:E2"/>
    <mergeCell ref="C3:E3"/>
    <mergeCell ref="B4:E4"/>
    <mergeCell ref="D78:E78"/>
    <mergeCell ref="D79:E79"/>
    <mergeCell ref="D80:E80"/>
    <mergeCell ref="D81:E81"/>
    <mergeCell ref="D74:E74"/>
    <mergeCell ref="D75:E75"/>
    <mergeCell ref="D76:E76"/>
    <mergeCell ref="D77:E77"/>
    <mergeCell ref="B99:E99"/>
    <mergeCell ref="B104:E104"/>
    <mergeCell ref="B110:E110"/>
    <mergeCell ref="B125:E125"/>
    <mergeCell ref="B117:E117"/>
    <mergeCell ref="D82:E82"/>
    <mergeCell ref="B85:E85"/>
    <mergeCell ref="B89:E89"/>
    <mergeCell ref="B93:E93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3.875" style="0" customWidth="1"/>
    <col min="3" max="3" width="10.25390625" style="0" customWidth="1"/>
    <col min="4" max="4" width="13.375" style="0" customWidth="1"/>
    <col min="5" max="5" width="12.3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21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365</v>
      </c>
      <c r="C7" s="26"/>
      <c r="D7" s="24"/>
    </row>
    <row r="8" spans="1:4" ht="15">
      <c r="A8" s="26"/>
      <c r="B8" s="27" t="s">
        <v>115</v>
      </c>
      <c r="C8" s="38">
        <v>1990.2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f>251271.66</f>
        <v>251271.66</v>
      </c>
      <c r="D11" s="155">
        <f>256035.1</f>
        <v>256035.1</v>
      </c>
      <c r="E11" s="242">
        <f aca="true" t="shared" si="0" ref="E11:E16">D11-C11</f>
        <v>4763.440000000002</v>
      </c>
    </row>
    <row r="12" spans="1:5" ht="12.75">
      <c r="A12" s="84">
        <v>2</v>
      </c>
      <c r="B12" s="5" t="s">
        <v>637</v>
      </c>
      <c r="C12" s="10">
        <f>116724.32+24.41</f>
        <v>116748.73000000001</v>
      </c>
      <c r="D12" s="34">
        <f>120882.16+0.3</f>
        <v>120882.46</v>
      </c>
      <c r="E12" s="57">
        <f t="shared" si="0"/>
        <v>4133.729999999996</v>
      </c>
    </row>
    <row r="13" spans="1:5" ht="12.75">
      <c r="A13" s="87">
        <v>3</v>
      </c>
      <c r="B13" s="5" t="s">
        <v>633</v>
      </c>
      <c r="C13" s="67">
        <v>40781.57</v>
      </c>
      <c r="D13" s="83">
        <v>44262.46</v>
      </c>
      <c r="E13" s="57">
        <f t="shared" si="0"/>
        <v>3480.8899999999994</v>
      </c>
    </row>
    <row r="14" spans="1:5" ht="12.75">
      <c r="A14" s="84">
        <v>4</v>
      </c>
      <c r="B14" s="65" t="s">
        <v>364</v>
      </c>
      <c r="C14" s="94">
        <v>23436.05</v>
      </c>
      <c r="D14" s="83">
        <v>26379.78</v>
      </c>
      <c r="E14" s="57">
        <f t="shared" si="0"/>
        <v>2943.7299999999996</v>
      </c>
    </row>
    <row r="15" spans="1:5" ht="12.75">
      <c r="A15" s="84">
        <v>5</v>
      </c>
      <c r="B15" s="65" t="s">
        <v>463</v>
      </c>
      <c r="C15" s="94">
        <f>2350+231.56</f>
        <v>2581.56</v>
      </c>
      <c r="D15" s="83">
        <f>2350+1.57</f>
        <v>2351.57</v>
      </c>
      <c r="E15" s="57">
        <f t="shared" si="0"/>
        <v>-229.98999999999978</v>
      </c>
    </row>
    <row r="16" spans="1:5" ht="13.5" thickBot="1">
      <c r="A16" s="84">
        <v>6</v>
      </c>
      <c r="B16" s="65" t="s">
        <v>29</v>
      </c>
      <c r="C16" s="94">
        <f>2400+3600</f>
        <v>6000</v>
      </c>
      <c r="D16" s="83">
        <f>2400+3300</f>
        <v>5700</v>
      </c>
      <c r="E16" s="57">
        <f t="shared" si="0"/>
        <v>-300</v>
      </c>
    </row>
    <row r="17" spans="1:5" ht="13.5" thickBot="1">
      <c r="A17" s="208"/>
      <c r="B17" s="209"/>
      <c r="C17" s="135">
        <f>SUM(C11:C16)</f>
        <v>440819.57</v>
      </c>
      <c r="D17" s="135">
        <f>SUM(D11:D16)</f>
        <v>455611.37000000005</v>
      </c>
      <c r="E17" s="136">
        <f>SUM(E11:E16)</f>
        <v>14791.799999999997</v>
      </c>
    </row>
    <row r="18" spans="1:5" ht="12.75">
      <c r="A18" s="385" t="s">
        <v>793</v>
      </c>
      <c r="B18" s="386"/>
      <c r="C18" s="386"/>
      <c r="D18" s="386"/>
      <c r="E18" s="108">
        <f>E128</f>
        <v>87531.51000000001</v>
      </c>
    </row>
    <row r="19" spans="1:5" ht="12.75">
      <c r="A19" s="387" t="s">
        <v>794</v>
      </c>
      <c r="B19" s="384"/>
      <c r="C19" s="384"/>
      <c r="D19" s="384"/>
      <c r="E19" s="22">
        <v>309502.81</v>
      </c>
    </row>
    <row r="20" spans="1:2" ht="12.75">
      <c r="A20" s="37"/>
      <c r="B20" s="3" t="s">
        <v>217</v>
      </c>
    </row>
    <row r="21" spans="1:2" ht="13.5" thickBot="1">
      <c r="A21" s="37"/>
      <c r="B21" s="30" t="s">
        <v>964</v>
      </c>
    </row>
    <row r="22" spans="1:5" ht="25.5">
      <c r="A22" s="86">
        <v>1</v>
      </c>
      <c r="B22" s="64" t="s">
        <v>638</v>
      </c>
      <c r="C22" s="80">
        <f>C62</f>
        <v>188873.45</v>
      </c>
      <c r="E22" s="29"/>
    </row>
    <row r="23" spans="1:5" ht="25.5">
      <c r="A23" s="91">
        <v>2</v>
      </c>
      <c r="B23" s="25" t="s">
        <v>344</v>
      </c>
      <c r="C23" s="102">
        <f>C68</f>
        <v>14249.13</v>
      </c>
      <c r="D23" s="388"/>
      <c r="E23" s="389"/>
    </row>
    <row r="24" spans="1:5" ht="12.75">
      <c r="A24" s="84">
        <v>3</v>
      </c>
      <c r="B24" s="9" t="s">
        <v>649</v>
      </c>
      <c r="C24" s="48">
        <v>3773.31</v>
      </c>
      <c r="E24" s="29"/>
    </row>
    <row r="25" spans="1:5" ht="12.75">
      <c r="A25" s="84">
        <v>4</v>
      </c>
      <c r="B25" s="9" t="s">
        <v>122</v>
      </c>
      <c r="C25" s="48">
        <f>(C8*0.55*12)</f>
        <v>13135.320000000002</v>
      </c>
      <c r="E25" s="29"/>
    </row>
    <row r="26" spans="1:5" ht="12.75">
      <c r="A26" s="84">
        <v>5</v>
      </c>
      <c r="B26" s="9" t="s">
        <v>658</v>
      </c>
      <c r="C26" s="79">
        <v>32224.92</v>
      </c>
      <c r="E26" s="29"/>
    </row>
    <row r="27" spans="1:5" ht="25.5">
      <c r="A27" s="91">
        <v>6</v>
      </c>
      <c r="B27" s="25" t="s">
        <v>1128</v>
      </c>
      <c r="C27" s="96">
        <v>2400</v>
      </c>
      <c r="E27" s="29"/>
    </row>
    <row r="28" spans="1:5" ht="25.5">
      <c r="A28" s="91">
        <v>7</v>
      </c>
      <c r="B28" s="25" t="s">
        <v>464</v>
      </c>
      <c r="C28" s="96">
        <v>555.02</v>
      </c>
      <c r="E28" s="29"/>
    </row>
    <row r="29" spans="1:5" ht="38.25">
      <c r="A29" s="91">
        <v>8</v>
      </c>
      <c r="B29" s="25" t="s">
        <v>462</v>
      </c>
      <c r="C29" s="349">
        <v>3640.89</v>
      </c>
      <c r="E29" s="29"/>
    </row>
    <row r="30" spans="1:5" ht="12.75">
      <c r="A30" s="84">
        <v>9</v>
      </c>
      <c r="B30" s="346" t="s">
        <v>26</v>
      </c>
      <c r="C30" s="96">
        <v>600</v>
      </c>
      <c r="E30" s="29"/>
    </row>
    <row r="31" spans="1:5" ht="25.5">
      <c r="A31" s="91">
        <v>10</v>
      </c>
      <c r="B31" s="25" t="s">
        <v>327</v>
      </c>
      <c r="C31" s="79">
        <v>3193.32</v>
      </c>
      <c r="E31" s="29"/>
    </row>
    <row r="32" spans="1:5" ht="12.75">
      <c r="A32" s="84">
        <v>11</v>
      </c>
      <c r="B32" s="25" t="s">
        <v>1175</v>
      </c>
      <c r="C32" s="79">
        <v>3642.37</v>
      </c>
      <c r="E32" s="29"/>
    </row>
    <row r="33" spans="1:5" ht="25.5">
      <c r="A33" s="91">
        <v>12</v>
      </c>
      <c r="B33" s="25" t="s">
        <v>335</v>
      </c>
      <c r="C33" s="96">
        <v>-2300</v>
      </c>
      <c r="E33" s="29"/>
    </row>
    <row r="34" spans="1:3" ht="12.75">
      <c r="A34" s="50"/>
      <c r="B34" s="20" t="s">
        <v>629</v>
      </c>
      <c r="C34" s="51">
        <f>SUM(C22:C33)</f>
        <v>263987.73</v>
      </c>
    </row>
    <row r="35" spans="1:3" ht="12.75">
      <c r="A35" s="49"/>
      <c r="B35" s="8" t="s">
        <v>965</v>
      </c>
      <c r="C35" s="45"/>
    </row>
    <row r="36" spans="1:3" ht="12.75">
      <c r="A36" s="84">
        <v>1</v>
      </c>
      <c r="B36" s="9" t="s">
        <v>228</v>
      </c>
      <c r="C36" s="48">
        <f>(C17)*15%</f>
        <v>66122.93549999999</v>
      </c>
    </row>
    <row r="37" spans="1:3" ht="12.75">
      <c r="A37" s="84">
        <v>2</v>
      </c>
      <c r="B37" s="9" t="s">
        <v>813</v>
      </c>
      <c r="C37" s="48">
        <f>C74</f>
        <v>4310.486221942322</v>
      </c>
    </row>
    <row r="38" spans="1:3" ht="12.75">
      <c r="A38" s="84">
        <v>3</v>
      </c>
      <c r="B38" s="9" t="s">
        <v>653</v>
      </c>
      <c r="C38" s="48">
        <f>C75</f>
        <v>4681.826738344915</v>
      </c>
    </row>
    <row r="39" spans="1:3" ht="12.75">
      <c r="A39" s="84">
        <v>4</v>
      </c>
      <c r="B39" s="9" t="s">
        <v>1114</v>
      </c>
      <c r="C39" s="52">
        <f>C76</f>
        <v>9504.295469361932</v>
      </c>
    </row>
    <row r="40" spans="1:3" ht="12.75">
      <c r="A40" s="84">
        <v>5</v>
      </c>
      <c r="B40" s="9" t="s">
        <v>162</v>
      </c>
      <c r="C40" s="52">
        <f>C77</f>
        <v>6944.662587833067</v>
      </c>
    </row>
    <row r="41" spans="1:3" ht="12.75">
      <c r="A41" s="84">
        <v>6</v>
      </c>
      <c r="B41" s="9" t="s">
        <v>1051</v>
      </c>
      <c r="C41" s="48">
        <f>C78+C80+C81+C82+C79</f>
        <v>11785.063052437235</v>
      </c>
    </row>
    <row r="42" spans="1:3" ht="12.75">
      <c r="A42" s="49"/>
      <c r="B42" s="74" t="s">
        <v>809</v>
      </c>
      <c r="C42" s="53"/>
    </row>
    <row r="43" spans="1:3" ht="12.75">
      <c r="A43" s="49"/>
      <c r="B43" s="5" t="s">
        <v>655</v>
      </c>
      <c r="C43" s="53"/>
    </row>
    <row r="44" spans="1:3" ht="12.75">
      <c r="A44" s="49"/>
      <c r="B44" s="74" t="s">
        <v>656</v>
      </c>
      <c r="C44" s="53"/>
    </row>
    <row r="45" spans="1:3" ht="12.75">
      <c r="A45" s="49"/>
      <c r="B45" s="74" t="s">
        <v>808</v>
      </c>
      <c r="C45" s="53"/>
    </row>
    <row r="46" spans="1:3" ht="12.75">
      <c r="A46" s="50"/>
      <c r="B46" s="20" t="s">
        <v>629</v>
      </c>
      <c r="C46" s="51">
        <f>C36+C37+C38+C39+C40+C41</f>
        <v>103349.26956991947</v>
      </c>
    </row>
    <row r="47" spans="1:3" ht="12.75">
      <c r="A47" s="49"/>
      <c r="B47" s="7" t="s">
        <v>966</v>
      </c>
      <c r="C47" s="45"/>
    </row>
    <row r="48" spans="1:3" ht="12.75">
      <c r="A48" s="84">
        <v>1</v>
      </c>
      <c r="B48" s="9" t="s">
        <v>631</v>
      </c>
      <c r="C48" s="48">
        <f>C17*2%</f>
        <v>8816.3914</v>
      </c>
    </row>
    <row r="49" spans="1:3" ht="12.75">
      <c r="A49" s="84">
        <v>2</v>
      </c>
      <c r="B49" s="9" t="s">
        <v>391</v>
      </c>
      <c r="C49" s="48">
        <f>C50</f>
        <v>25920.190715999997</v>
      </c>
    </row>
    <row r="50" spans="1:4" ht="12.75">
      <c r="A50" s="49"/>
      <c r="B50" s="5" t="s">
        <v>334</v>
      </c>
      <c r="C50" s="41">
        <f>(C17-C48)*6%</f>
        <v>25920.190715999997</v>
      </c>
      <c r="D50" s="19"/>
    </row>
    <row r="51" spans="1:3" ht="13.5" thickBot="1">
      <c r="A51" s="54"/>
      <c r="B51" s="55" t="s">
        <v>967</v>
      </c>
      <c r="C51" s="56">
        <f>C48+C49</f>
        <v>34736.582116</v>
      </c>
    </row>
    <row r="52" spans="1:3" ht="12.75">
      <c r="A52" s="23"/>
      <c r="B52" s="4" t="s">
        <v>288</v>
      </c>
      <c r="C52" s="11">
        <f>C34+C46+C51</f>
        <v>402073.58168591943</v>
      </c>
    </row>
    <row r="53" spans="1:3" ht="12.75">
      <c r="A53" s="23"/>
      <c r="B53" s="77"/>
      <c r="C53" s="1"/>
    </row>
    <row r="54" spans="1:3" ht="15">
      <c r="A54" s="23"/>
      <c r="B54" s="14" t="s">
        <v>812</v>
      </c>
      <c r="C54" s="1">
        <v>68791.18</v>
      </c>
    </row>
    <row r="55" spans="1:3" ht="15">
      <c r="A55" s="23"/>
      <c r="B55" s="14" t="s">
        <v>12</v>
      </c>
      <c r="C55" s="11">
        <v>68791.18</v>
      </c>
    </row>
    <row r="56" spans="1:3" ht="15">
      <c r="A56" s="23"/>
      <c r="B56" s="14" t="s">
        <v>94</v>
      </c>
      <c r="C56" s="11">
        <f>C17+C55-C52-C54</f>
        <v>38745.988314080576</v>
      </c>
    </row>
    <row r="57" ht="12.75">
      <c r="B57" s="1" t="s">
        <v>85</v>
      </c>
    </row>
    <row r="58" ht="17.2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451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1990.2</v>
      </c>
      <c r="E61" t="s">
        <v>116</v>
      </c>
    </row>
    <row r="62" spans="1:5" ht="12.75">
      <c r="A62" s="60" t="s">
        <v>218</v>
      </c>
      <c r="B62" s="39" t="s">
        <v>165</v>
      </c>
      <c r="C62" s="47">
        <v>188873.45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1093</v>
      </c>
      <c r="D64" s="15"/>
      <c r="E64" s="15"/>
    </row>
    <row r="65" spans="1:5" ht="12.75">
      <c r="A65" s="62" t="s">
        <v>166</v>
      </c>
      <c r="B65" s="6" t="s">
        <v>634</v>
      </c>
      <c r="C65" s="41">
        <v>48870.61</v>
      </c>
      <c r="D65" s="15"/>
      <c r="E65" s="15"/>
    </row>
    <row r="66" spans="1:5" ht="12.75">
      <c r="A66" s="62" t="s">
        <v>166</v>
      </c>
      <c r="B66" s="6" t="s">
        <v>461</v>
      </c>
      <c r="C66" s="41">
        <v>1800</v>
      </c>
      <c r="D66" s="15"/>
      <c r="E66" s="15"/>
    </row>
    <row r="67" spans="1:5" ht="13.5" thickBot="1">
      <c r="A67" s="63" t="s">
        <v>166</v>
      </c>
      <c r="B67" s="42" t="s">
        <v>818</v>
      </c>
      <c r="C67" s="46">
        <v>2100.7</v>
      </c>
      <c r="D67" s="15"/>
      <c r="E67" s="15"/>
    </row>
    <row r="68" spans="1:5" ht="12.75">
      <c r="A68" s="60" t="s">
        <v>328</v>
      </c>
      <c r="B68" s="39" t="s">
        <v>343</v>
      </c>
      <c r="C68" s="47">
        <v>14249.13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2248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113.8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103349.26956991949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C36</f>
        <v>66122.93549999999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4310.486221942322</v>
      </c>
      <c r="D74" s="375" t="s">
        <v>452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4681.826738344915</v>
      </c>
      <c r="D75" s="377" t="s">
        <v>453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9504.295469361932</v>
      </c>
      <c r="D76" s="379" t="s">
        <v>454</v>
      </c>
      <c r="E76" s="380"/>
    </row>
    <row r="77" spans="1:5" ht="25.5">
      <c r="A77" s="73" t="s">
        <v>166</v>
      </c>
      <c r="B77" s="72" t="s">
        <v>231</v>
      </c>
      <c r="C77" s="318">
        <f>845684.35/242356.05*D61</f>
        <v>6944.662587833067</v>
      </c>
      <c r="D77" s="381" t="s">
        <v>455</v>
      </c>
      <c r="E77" s="382"/>
    </row>
    <row r="78" spans="1:5" ht="12.75">
      <c r="A78" s="73" t="s">
        <v>166</v>
      </c>
      <c r="B78" s="74" t="s">
        <v>808</v>
      </c>
      <c r="C78" s="318">
        <f>642562.44/242356.05*D61</f>
        <v>5276.648831700301</v>
      </c>
      <c r="D78" s="371" t="s">
        <v>456</v>
      </c>
      <c r="E78" s="372"/>
    </row>
    <row r="79" spans="1:5" ht="12.75">
      <c r="A79" s="73" t="s">
        <v>166</v>
      </c>
      <c r="B79" s="74" t="s">
        <v>826</v>
      </c>
      <c r="C79" s="318">
        <f>51615/196822.43*D61</f>
        <v>521.9129394957679</v>
      </c>
      <c r="D79" s="371" t="s">
        <v>457</v>
      </c>
      <c r="E79" s="372"/>
    </row>
    <row r="80" spans="1:5" ht="12.75">
      <c r="A80" s="73" t="s">
        <v>166</v>
      </c>
      <c r="B80" s="74" t="s">
        <v>655</v>
      </c>
      <c r="C80" s="318">
        <f>129011.28/196822.43*D61</f>
        <v>1304.5172212130497</v>
      </c>
      <c r="D80" s="371" t="s">
        <v>458</v>
      </c>
      <c r="E80" s="372"/>
    </row>
    <row r="81" spans="1:5" ht="12.75">
      <c r="A81" s="73" t="s">
        <v>166</v>
      </c>
      <c r="B81" s="74" t="s">
        <v>656</v>
      </c>
      <c r="C81" s="318">
        <f>164128/196822.43*D61</f>
        <v>1659.605287872932</v>
      </c>
      <c r="D81" s="373" t="s">
        <v>459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298900.58/196822.43*D61</f>
        <v>3022.3787721551857</v>
      </c>
      <c r="D82" s="369" t="s">
        <v>460</v>
      </c>
      <c r="E82" s="370"/>
    </row>
    <row r="83" ht="13.5" thickBot="1"/>
    <row r="84" spans="2:5" ht="24.75" thickBot="1">
      <c r="B84" s="143"/>
      <c r="C84" s="205" t="s">
        <v>104</v>
      </c>
      <c r="D84" s="236" t="s">
        <v>306</v>
      </c>
      <c r="E84" s="130" t="s">
        <v>305</v>
      </c>
    </row>
    <row r="85" spans="2:5" ht="13.5" thickBot="1">
      <c r="B85" s="363" t="s">
        <v>806</v>
      </c>
      <c r="C85" s="364"/>
      <c r="D85" s="364"/>
      <c r="E85" s="365"/>
    </row>
    <row r="86" spans="2:5" ht="12.75">
      <c r="B86" s="140" t="s">
        <v>285</v>
      </c>
      <c r="C86" s="234">
        <v>209550.28</v>
      </c>
      <c r="D86" s="218">
        <v>237348</v>
      </c>
      <c r="E86" s="44">
        <f>D86-C86</f>
        <v>27797.72</v>
      </c>
    </row>
    <row r="87" spans="2:5" ht="13.5" thickBot="1">
      <c r="B87" s="116" t="s">
        <v>637</v>
      </c>
      <c r="C87" s="67">
        <v>70920.69</v>
      </c>
      <c r="D87" s="101">
        <v>79986.28</v>
      </c>
      <c r="E87" s="131">
        <f>D87-C87</f>
        <v>9065.589999999997</v>
      </c>
    </row>
    <row r="88" spans="2:5" ht="13.5" thickBot="1">
      <c r="B88" s="120"/>
      <c r="C88" s="210">
        <f>SUM(C86:C87)</f>
        <v>280470.97</v>
      </c>
      <c r="D88" s="210">
        <f>SUM(D86:D87)</f>
        <v>317334.28</v>
      </c>
      <c r="E88" s="210">
        <f>SUM(E86:E87)</f>
        <v>36863.31</v>
      </c>
    </row>
    <row r="89" spans="2:5" ht="13.5" thickBot="1">
      <c r="B89" s="393" t="s">
        <v>807</v>
      </c>
      <c r="C89" s="394"/>
      <c r="D89" s="394"/>
      <c r="E89" s="395"/>
    </row>
    <row r="90" spans="2:5" ht="12.75">
      <c r="B90" s="140" t="s">
        <v>285</v>
      </c>
      <c r="C90" s="234">
        <v>241051.65</v>
      </c>
      <c r="D90" s="218">
        <v>237834</v>
      </c>
      <c r="E90" s="44">
        <f>D90-C90</f>
        <v>-3217.649999999994</v>
      </c>
    </row>
    <row r="91" spans="2:5" ht="13.5" thickBot="1">
      <c r="B91" s="116" t="s">
        <v>637</v>
      </c>
      <c r="C91" s="67">
        <v>80859.56</v>
      </c>
      <c r="D91" s="101">
        <v>80150.06</v>
      </c>
      <c r="E91" s="131">
        <f>D91-C91</f>
        <v>-709.5</v>
      </c>
    </row>
    <row r="92" spans="2:5" ht="13.5" thickBot="1">
      <c r="B92" s="120"/>
      <c r="C92" s="257">
        <f>SUM(C90:C91)</f>
        <v>321911.20999999996</v>
      </c>
      <c r="D92" s="257">
        <f>SUM(D90:D91)</f>
        <v>317984.06</v>
      </c>
      <c r="E92" s="210">
        <f>SUM(E90:E91)</f>
        <v>-3927.149999999994</v>
      </c>
    </row>
    <row r="93" spans="2:5" ht="13.5" thickBot="1">
      <c r="B93" s="363" t="s">
        <v>421</v>
      </c>
      <c r="C93" s="364"/>
      <c r="D93" s="364"/>
      <c r="E93" s="365"/>
    </row>
    <row r="94" spans="2:5" ht="12.75">
      <c r="B94" s="140" t="s">
        <v>285</v>
      </c>
      <c r="C94" s="223">
        <v>237498.09</v>
      </c>
      <c r="D94" s="264">
        <v>252599.06</v>
      </c>
      <c r="E94" s="44">
        <f>D94-C94</f>
        <v>15100.970000000001</v>
      </c>
    </row>
    <row r="95" spans="2:5" ht="12.75">
      <c r="B95" s="115" t="s">
        <v>637</v>
      </c>
      <c r="C95" s="35">
        <v>75856.27</v>
      </c>
      <c r="D95" s="110">
        <v>80286.2</v>
      </c>
      <c r="E95" s="45">
        <f>D95-C95</f>
        <v>4429.929999999993</v>
      </c>
    </row>
    <row r="96" spans="2:5" ht="12.75">
      <c r="B96" s="116" t="s">
        <v>408</v>
      </c>
      <c r="C96" s="321">
        <v>8511.55</v>
      </c>
      <c r="D96" s="344">
        <v>11927.1</v>
      </c>
      <c r="E96" s="45">
        <f>D96-C96</f>
        <v>3415.550000000001</v>
      </c>
    </row>
    <row r="97" spans="2:5" ht="26.25" thickBot="1">
      <c r="B97" s="266" t="s">
        <v>1046</v>
      </c>
      <c r="C97" s="274">
        <v>2500</v>
      </c>
      <c r="D97" s="277">
        <v>2500</v>
      </c>
      <c r="E97" s="246">
        <f>D97-C97</f>
        <v>0</v>
      </c>
    </row>
    <row r="98" spans="2:5" ht="13.5" thickBot="1">
      <c r="B98" s="124"/>
      <c r="C98" s="252">
        <f>SUM(C94:C97)</f>
        <v>324365.91</v>
      </c>
      <c r="D98" s="252">
        <f>SUM(D94:D97)</f>
        <v>347312.36</v>
      </c>
      <c r="E98" s="119">
        <f>SUM(E94:E97)</f>
        <v>22946.449999999997</v>
      </c>
    </row>
    <row r="99" spans="2:5" ht="13.5" thickBot="1">
      <c r="B99" s="363" t="s">
        <v>1110</v>
      </c>
      <c r="C99" s="364"/>
      <c r="D99" s="364"/>
      <c r="E99" s="365"/>
    </row>
    <row r="100" spans="2:5" ht="12.75">
      <c r="B100" s="140" t="s">
        <v>285</v>
      </c>
      <c r="C100" s="234">
        <v>516040.22</v>
      </c>
      <c r="D100" s="218">
        <v>520703.11</v>
      </c>
      <c r="E100" s="253">
        <f>D100-C100</f>
        <v>4662.890000000014</v>
      </c>
    </row>
    <row r="101" spans="2:5" ht="12.75">
      <c r="B101" s="115" t="s">
        <v>637</v>
      </c>
      <c r="C101" s="10">
        <v>183878.35</v>
      </c>
      <c r="D101" s="99">
        <v>184952.06</v>
      </c>
      <c r="E101" s="53">
        <f>D101-C101</f>
        <v>1073.7099999999919</v>
      </c>
    </row>
    <row r="102" spans="2:5" ht="13.5" thickBot="1">
      <c r="B102" s="156" t="s">
        <v>633</v>
      </c>
      <c r="C102" s="142">
        <v>76640.46</v>
      </c>
      <c r="D102" s="142">
        <v>77648.6</v>
      </c>
      <c r="E102" s="85">
        <f>D102-C102</f>
        <v>1008.1399999999994</v>
      </c>
    </row>
    <row r="103" spans="2:5" ht="13.5" thickBot="1">
      <c r="B103" s="187"/>
      <c r="C103" s="254">
        <f>SUM(C100:C102)</f>
        <v>776559.0299999999</v>
      </c>
      <c r="D103" s="255">
        <f>SUM(D100:D102)</f>
        <v>783303.7699999999</v>
      </c>
      <c r="E103" s="256">
        <f>SUM(E100:E102)</f>
        <v>6744.740000000005</v>
      </c>
    </row>
    <row r="104" spans="2:5" ht="13.5" thickBot="1">
      <c r="B104" s="363" t="s">
        <v>206</v>
      </c>
      <c r="C104" s="364"/>
      <c r="D104" s="364"/>
      <c r="E104" s="365"/>
    </row>
    <row r="105" spans="2:5" ht="12.75">
      <c r="B105" s="140" t="s">
        <v>285</v>
      </c>
      <c r="C105" s="234">
        <v>251359.95</v>
      </c>
      <c r="D105" s="218">
        <v>252877.84</v>
      </c>
      <c r="E105" s="253">
        <f>D105-C105</f>
        <v>1517.8899999999849</v>
      </c>
    </row>
    <row r="106" spans="2:5" ht="12.75">
      <c r="B106" s="115" t="s">
        <v>637</v>
      </c>
      <c r="C106" s="10">
        <v>88101</v>
      </c>
      <c r="D106" s="99">
        <v>91577.27</v>
      </c>
      <c r="E106" s="53">
        <f>D106-C106</f>
        <v>3476.270000000004</v>
      </c>
    </row>
    <row r="107" spans="2:5" ht="12.75">
      <c r="B107" s="220" t="s">
        <v>633</v>
      </c>
      <c r="C107" s="125">
        <v>34732.31</v>
      </c>
      <c r="D107" s="125">
        <v>37375.08</v>
      </c>
      <c r="E107" s="53">
        <f>D107-C107</f>
        <v>2642.770000000004</v>
      </c>
    </row>
    <row r="108" spans="2:5" ht="12.75">
      <c r="B108" s="269" t="s">
        <v>163</v>
      </c>
      <c r="C108" s="107">
        <v>180686.09</v>
      </c>
      <c r="D108" s="107">
        <v>185411.45</v>
      </c>
      <c r="E108" s="53">
        <f>D108-C108</f>
        <v>4725.360000000015</v>
      </c>
    </row>
    <row r="109" spans="2:5" ht="13.5" thickBot="1">
      <c r="B109" s="157" t="s">
        <v>1200</v>
      </c>
      <c r="C109" s="142">
        <v>5304.88</v>
      </c>
      <c r="D109" s="142">
        <v>5304.88</v>
      </c>
      <c r="E109" s="85">
        <f>D109-C109</f>
        <v>0</v>
      </c>
    </row>
    <row r="110" spans="2:5" ht="13.5" thickBot="1">
      <c r="B110" s="187"/>
      <c r="C110" s="254">
        <f>SUM(C105:C109)</f>
        <v>560184.23</v>
      </c>
      <c r="D110" s="255">
        <f>SUM(D105:D109)</f>
        <v>572546.52</v>
      </c>
      <c r="E110" s="256">
        <f>SUM(E105:E109)</f>
        <v>12362.290000000008</v>
      </c>
    </row>
    <row r="111" spans="2:5" ht="13.5" thickBot="1">
      <c r="B111" s="363" t="s">
        <v>437</v>
      </c>
      <c r="C111" s="364"/>
      <c r="D111" s="364"/>
      <c r="E111" s="365"/>
    </row>
    <row r="112" spans="2:5" ht="12.75">
      <c r="B112" s="140" t="s">
        <v>285</v>
      </c>
      <c r="C112" s="234">
        <v>171399.39</v>
      </c>
      <c r="D112" s="218">
        <v>168580.48</v>
      </c>
      <c r="E112" s="253">
        <f aca="true" t="shared" si="1" ref="E112:E117">D112-C112</f>
        <v>-2818.9100000000035</v>
      </c>
    </row>
    <row r="113" spans="2:5" ht="12.75">
      <c r="B113" s="115" t="s">
        <v>637</v>
      </c>
      <c r="C113" s="10">
        <v>71048.52</v>
      </c>
      <c r="D113" s="99">
        <v>75935.15</v>
      </c>
      <c r="E113" s="53">
        <f t="shared" si="1"/>
        <v>4886.62999999999</v>
      </c>
    </row>
    <row r="114" spans="2:5" ht="12.75">
      <c r="B114" s="220" t="s">
        <v>633</v>
      </c>
      <c r="C114" s="125">
        <v>29023.12</v>
      </c>
      <c r="D114" s="125">
        <v>27038.16</v>
      </c>
      <c r="E114" s="53">
        <f t="shared" si="1"/>
        <v>-1984.9599999999991</v>
      </c>
    </row>
    <row r="115" spans="2:5" ht="12.75">
      <c r="B115" s="220" t="s">
        <v>811</v>
      </c>
      <c r="C115" s="125">
        <v>8291.82</v>
      </c>
      <c r="D115" s="125">
        <v>9602.6</v>
      </c>
      <c r="E115" s="53">
        <f t="shared" si="1"/>
        <v>1310.7800000000007</v>
      </c>
    </row>
    <row r="116" spans="2:5" ht="12.75">
      <c r="B116" s="269" t="s">
        <v>415</v>
      </c>
      <c r="C116" s="107">
        <v>2171.12</v>
      </c>
      <c r="D116" s="107">
        <v>2264.35</v>
      </c>
      <c r="E116" s="53">
        <f t="shared" si="1"/>
        <v>93.23000000000002</v>
      </c>
    </row>
    <row r="117" spans="2:5" ht="13.5" thickBot="1">
      <c r="B117" s="157" t="s">
        <v>163</v>
      </c>
      <c r="C117" s="142">
        <v>3826.67</v>
      </c>
      <c r="D117" s="142">
        <v>89.97</v>
      </c>
      <c r="E117" s="85">
        <f t="shared" si="1"/>
        <v>-3736.7000000000003</v>
      </c>
    </row>
    <row r="118" spans="2:5" ht="13.5" thickBot="1">
      <c r="B118" s="187"/>
      <c r="C118" s="254">
        <f>SUM(C112:C117)</f>
        <v>285760.64</v>
      </c>
      <c r="D118" s="255">
        <f>SUM(D112:D117)</f>
        <v>283510.7099999999</v>
      </c>
      <c r="E118" s="256">
        <f>SUM(E112:E117)</f>
        <v>-2249.930000000012</v>
      </c>
    </row>
    <row r="119" spans="2:5" ht="13.5" thickBot="1">
      <c r="B119" s="363" t="s">
        <v>87</v>
      </c>
      <c r="C119" s="364"/>
      <c r="D119" s="364"/>
      <c r="E119" s="365"/>
    </row>
    <row r="120" spans="2:5" ht="12.75">
      <c r="B120" s="140" t="s">
        <v>285</v>
      </c>
      <c r="C120" s="234">
        <f>251271.66</f>
        <v>251271.66</v>
      </c>
      <c r="D120" s="155">
        <f>256035.1</f>
        <v>256035.1</v>
      </c>
      <c r="E120" s="253">
        <f aca="true" t="shared" si="2" ref="E120:E125">D120-C120</f>
        <v>4763.440000000002</v>
      </c>
    </row>
    <row r="121" spans="2:5" ht="12.75">
      <c r="B121" s="115" t="s">
        <v>637</v>
      </c>
      <c r="C121" s="10">
        <f>116724.32+24.41</f>
        <v>116748.73000000001</v>
      </c>
      <c r="D121" s="34">
        <f>120882.16+0.3</f>
        <v>120882.46</v>
      </c>
      <c r="E121" s="53">
        <f t="shared" si="2"/>
        <v>4133.729999999996</v>
      </c>
    </row>
    <row r="122" spans="2:5" ht="12.75">
      <c r="B122" s="115" t="s">
        <v>633</v>
      </c>
      <c r="C122" s="67">
        <v>40781.57</v>
      </c>
      <c r="D122" s="83">
        <v>44262.46</v>
      </c>
      <c r="E122" s="81">
        <f t="shared" si="2"/>
        <v>3480.8899999999994</v>
      </c>
    </row>
    <row r="123" spans="2:5" ht="12.75">
      <c r="B123" s="116" t="s">
        <v>364</v>
      </c>
      <c r="C123" s="94">
        <v>23436.05</v>
      </c>
      <c r="D123" s="83">
        <v>26379.78</v>
      </c>
      <c r="E123" s="81">
        <f>D123-C123</f>
        <v>2943.7299999999996</v>
      </c>
    </row>
    <row r="124" spans="2:5" ht="12.75">
      <c r="B124" s="116" t="s">
        <v>463</v>
      </c>
      <c r="C124" s="94">
        <f>2350+231.56</f>
        <v>2581.56</v>
      </c>
      <c r="D124" s="83">
        <f>2350+1.57</f>
        <v>2351.57</v>
      </c>
      <c r="E124" s="81">
        <f t="shared" si="2"/>
        <v>-229.98999999999978</v>
      </c>
    </row>
    <row r="125" spans="2:5" ht="13.5" thickBot="1">
      <c r="B125" s="157" t="s">
        <v>29</v>
      </c>
      <c r="C125" s="247">
        <f>2400+3600</f>
        <v>6000</v>
      </c>
      <c r="D125" s="226">
        <f>2400+3300</f>
        <v>5700</v>
      </c>
      <c r="E125" s="85">
        <f t="shared" si="2"/>
        <v>-300</v>
      </c>
    </row>
    <row r="126" spans="2:5" ht="13.5" thickBot="1">
      <c r="B126" s="324"/>
      <c r="C126" s="119">
        <f>SUM(C120:C125)</f>
        <v>440819.57</v>
      </c>
      <c r="D126" s="119">
        <f>SUM(D120:D125)</f>
        <v>455611.37000000005</v>
      </c>
      <c r="E126" s="119">
        <f>SUM(E120:E125)</f>
        <v>14791.799999999997</v>
      </c>
    </row>
    <row r="127" spans="2:5" ht="13.5" thickBot="1">
      <c r="B127" s="366" t="s">
        <v>379</v>
      </c>
      <c r="C127" s="367"/>
      <c r="D127" s="367"/>
      <c r="E127" s="368"/>
    </row>
    <row r="128" spans="2:5" ht="13.5" thickBot="1">
      <c r="B128" s="153"/>
      <c r="C128" s="117">
        <f>C98+C103+C92+C88+C110+C118+C126</f>
        <v>2990071.5599999996</v>
      </c>
      <c r="D128" s="117">
        <f>D98+D103+D92+D88+D110+D118+D126</f>
        <v>3077603.0700000003</v>
      </c>
      <c r="E128" s="117">
        <f>E98+E103+E92+E88+E110+E118+E126</f>
        <v>87531.51000000001</v>
      </c>
    </row>
  </sheetData>
  <sheetProtection/>
  <mergeCells count="25">
    <mergeCell ref="B89:E89"/>
    <mergeCell ref="B93:E93"/>
    <mergeCell ref="B99:E99"/>
    <mergeCell ref="B104:E104"/>
    <mergeCell ref="B111:E111"/>
    <mergeCell ref="B127:E127"/>
    <mergeCell ref="B119:E119"/>
    <mergeCell ref="D78:E78"/>
    <mergeCell ref="D79:E79"/>
    <mergeCell ref="D80:E80"/>
    <mergeCell ref="D81:E81"/>
    <mergeCell ref="D82:E82"/>
    <mergeCell ref="B85:E85"/>
    <mergeCell ref="A19:D19"/>
    <mergeCell ref="D23:E23"/>
    <mergeCell ref="D74:E74"/>
    <mergeCell ref="D75:E75"/>
    <mergeCell ref="D76:E76"/>
    <mergeCell ref="D77:E77"/>
    <mergeCell ref="A2:B2"/>
    <mergeCell ref="C2:E2"/>
    <mergeCell ref="C3:E3"/>
    <mergeCell ref="B4:E4"/>
    <mergeCell ref="A6:E6"/>
    <mergeCell ref="A18:D18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56.875" style="0" customWidth="1"/>
    <col min="3" max="3" width="10.25390625" style="0" customWidth="1"/>
    <col min="4" max="4" width="12.1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1178</v>
      </c>
      <c r="C7" s="26"/>
      <c r="D7" s="24"/>
    </row>
    <row r="8" spans="1:4" ht="15">
      <c r="A8" s="26"/>
      <c r="B8" s="27" t="s">
        <v>115</v>
      </c>
      <c r="C8" s="38">
        <v>4281.5</v>
      </c>
      <c r="D8" s="92" t="s">
        <v>116</v>
      </c>
    </row>
    <row r="9" spans="1:4" ht="15">
      <c r="A9" s="26"/>
      <c r="B9" s="27" t="s">
        <v>654</v>
      </c>
      <c r="C9" s="93">
        <v>835.1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485217.22</v>
      </c>
      <c r="D12" s="155">
        <v>529599.83</v>
      </c>
      <c r="E12" s="242">
        <f aca="true" t="shared" si="0" ref="E12:E19">D12-C12</f>
        <v>44382.609999999986</v>
      </c>
    </row>
    <row r="13" spans="1:5" ht="12.75">
      <c r="A13" s="84">
        <v>2</v>
      </c>
      <c r="B13" s="5" t="s">
        <v>637</v>
      </c>
      <c r="C13" s="10">
        <v>238924.34</v>
      </c>
      <c r="D13" s="34">
        <v>260230.56</v>
      </c>
      <c r="E13" s="57">
        <f t="shared" si="0"/>
        <v>21306.22</v>
      </c>
    </row>
    <row r="14" spans="1:5" ht="12.75">
      <c r="A14" s="87">
        <v>3</v>
      </c>
      <c r="B14" s="5" t="s">
        <v>633</v>
      </c>
      <c r="C14" s="67">
        <v>69325.92</v>
      </c>
      <c r="D14" s="83">
        <v>76290.74</v>
      </c>
      <c r="E14" s="57">
        <f t="shared" si="0"/>
        <v>6964.820000000007</v>
      </c>
    </row>
    <row r="15" spans="1:5" ht="12.75">
      <c r="A15" s="84">
        <v>4</v>
      </c>
      <c r="B15" s="65" t="s">
        <v>364</v>
      </c>
      <c r="C15" s="94">
        <v>55375.82</v>
      </c>
      <c r="D15" s="83">
        <v>61081.32</v>
      </c>
      <c r="E15" s="57">
        <f t="shared" si="0"/>
        <v>5705.5</v>
      </c>
    </row>
    <row r="16" spans="1:5" ht="12.75" customHeight="1">
      <c r="A16" s="87">
        <v>5</v>
      </c>
      <c r="B16" s="351" t="s">
        <v>1187</v>
      </c>
      <c r="C16" s="258">
        <v>6682.89</v>
      </c>
      <c r="D16" s="258">
        <v>6682.89</v>
      </c>
      <c r="E16" s="66">
        <f t="shared" si="0"/>
        <v>0</v>
      </c>
    </row>
    <row r="17" spans="1:5" ht="12.75">
      <c r="A17" s="84">
        <v>6</v>
      </c>
      <c r="B17" s="65" t="s">
        <v>29</v>
      </c>
      <c r="C17" s="94">
        <f>2400+3600+1000</f>
        <v>7000</v>
      </c>
      <c r="D17" s="83">
        <f>2400+3300+1000</f>
        <v>6700</v>
      </c>
      <c r="E17" s="57">
        <f t="shared" si="0"/>
        <v>-300</v>
      </c>
    </row>
    <row r="18" spans="1:5" ht="12.75">
      <c r="A18" s="84">
        <v>7</v>
      </c>
      <c r="B18" s="105" t="s">
        <v>393</v>
      </c>
      <c r="C18" s="122">
        <v>1568</v>
      </c>
      <c r="D18" s="122">
        <v>863.87</v>
      </c>
      <c r="E18" s="66">
        <f t="shared" si="0"/>
        <v>-704.13</v>
      </c>
    </row>
    <row r="19" spans="1:5" ht="13.5" thickBot="1">
      <c r="A19" s="87">
        <v>8</v>
      </c>
      <c r="B19" s="5" t="s">
        <v>805</v>
      </c>
      <c r="C19" s="67">
        <f>62249.87+10895.67+100887.72+4280.3</f>
        <v>178313.56</v>
      </c>
      <c r="D19" s="83">
        <f>62249.87+11496.13+100887.72+2999.15</f>
        <v>177632.87</v>
      </c>
      <c r="E19" s="57">
        <f t="shared" si="0"/>
        <v>-680.6900000000023</v>
      </c>
    </row>
    <row r="20" spans="1:5" ht="13.5" thickBot="1">
      <c r="A20" s="208"/>
      <c r="B20" s="209"/>
      <c r="C20" s="135">
        <f>SUM(C12:C19)</f>
        <v>1042407.75</v>
      </c>
      <c r="D20" s="135">
        <f>SUM(D12:D19)</f>
        <v>1119082.0799999998</v>
      </c>
      <c r="E20" s="136">
        <f>SUM(E12:E19)</f>
        <v>76674.32999999999</v>
      </c>
    </row>
    <row r="21" spans="1:5" ht="12.75">
      <c r="A21" s="385" t="s">
        <v>793</v>
      </c>
      <c r="B21" s="386"/>
      <c r="C21" s="386"/>
      <c r="D21" s="386"/>
      <c r="E21" s="108">
        <f>E158</f>
        <v>188702.00999999998</v>
      </c>
    </row>
    <row r="22" spans="1:5" ht="12.75">
      <c r="A22" s="387" t="s">
        <v>794</v>
      </c>
      <c r="B22" s="384"/>
      <c r="C22" s="384"/>
      <c r="D22" s="384"/>
      <c r="E22" s="22">
        <v>195210.94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25.5">
      <c r="A25" s="86">
        <v>1</v>
      </c>
      <c r="B25" s="64" t="s">
        <v>1188</v>
      </c>
      <c r="C25" s="80">
        <f>C64</f>
        <v>465158.42</v>
      </c>
      <c r="E25" s="29"/>
    </row>
    <row r="26" spans="1:5" ht="25.5">
      <c r="A26" s="91">
        <v>2</v>
      </c>
      <c r="B26" s="25" t="s">
        <v>1189</v>
      </c>
      <c r="C26" s="102">
        <f>C74</f>
        <v>39260.11</v>
      </c>
      <c r="D26" s="388"/>
      <c r="E26" s="389"/>
    </row>
    <row r="27" spans="1:5" ht="12.75">
      <c r="A27" s="84">
        <v>3</v>
      </c>
      <c r="B27" s="9" t="s">
        <v>649</v>
      </c>
      <c r="C27" s="48">
        <v>1274.52</v>
      </c>
      <c r="E27" s="29"/>
    </row>
    <row r="28" spans="1:5" ht="12.75">
      <c r="A28" s="84">
        <v>4</v>
      </c>
      <c r="B28" s="9" t="s">
        <v>122</v>
      </c>
      <c r="C28" s="48">
        <f>(C8*0.55*12)</f>
        <v>28257.9</v>
      </c>
      <c r="E28" s="29"/>
    </row>
    <row r="29" spans="1:5" ht="12.75">
      <c r="A29" s="84">
        <v>5</v>
      </c>
      <c r="B29" s="9" t="s">
        <v>658</v>
      </c>
      <c r="C29" s="79">
        <v>51347.4</v>
      </c>
      <c r="E29" s="29"/>
    </row>
    <row r="30" spans="1:5" ht="25.5">
      <c r="A30" s="91">
        <v>6</v>
      </c>
      <c r="B30" s="25" t="s">
        <v>1128</v>
      </c>
      <c r="C30" s="96">
        <v>3400</v>
      </c>
      <c r="E30" s="29"/>
    </row>
    <row r="31" spans="1:5" ht="25.5">
      <c r="A31" s="91">
        <v>7</v>
      </c>
      <c r="B31" s="25" t="s">
        <v>335</v>
      </c>
      <c r="C31" s="96">
        <v>8400</v>
      </c>
      <c r="E31" s="29"/>
    </row>
    <row r="32" spans="1:5" ht="25.5">
      <c r="A32" s="91">
        <v>8</v>
      </c>
      <c r="B32" s="25" t="s">
        <v>327</v>
      </c>
      <c r="C32" s="79">
        <v>4801.94</v>
      </c>
      <c r="E32" s="29"/>
    </row>
    <row r="33" spans="1:5" ht="12.75">
      <c r="A33" s="84">
        <v>9</v>
      </c>
      <c r="B33" s="25" t="s">
        <v>1175</v>
      </c>
      <c r="C33" s="79">
        <v>5372.51</v>
      </c>
      <c r="E33" s="29"/>
    </row>
    <row r="34" spans="1:5" ht="12.75">
      <c r="A34" s="91">
        <v>10</v>
      </c>
      <c r="B34" s="25" t="s">
        <v>1176</v>
      </c>
      <c r="C34" s="96">
        <v>20721.99</v>
      </c>
      <c r="E34" s="29"/>
    </row>
    <row r="35" spans="1:5" ht="25.5">
      <c r="A35" s="91">
        <v>11</v>
      </c>
      <c r="B35" s="25" t="s">
        <v>1184</v>
      </c>
      <c r="C35" s="96">
        <v>14000</v>
      </c>
      <c r="E35" s="29"/>
    </row>
    <row r="36" spans="1:5" ht="12.75">
      <c r="A36" s="91">
        <v>12</v>
      </c>
      <c r="B36" s="25" t="s">
        <v>363</v>
      </c>
      <c r="C36" s="349">
        <v>27752.86</v>
      </c>
      <c r="E36" s="29"/>
    </row>
    <row r="37" spans="1:3" ht="12.75">
      <c r="A37" s="50"/>
      <c r="B37" s="20" t="s">
        <v>629</v>
      </c>
      <c r="C37" s="51">
        <f>SUM(C25:C36)</f>
        <v>669747.6499999999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(C20)*15%</f>
        <v>156361.1625</v>
      </c>
    </row>
    <row r="40" spans="1:3" ht="12.75">
      <c r="A40" s="84">
        <v>2</v>
      </c>
      <c r="B40" s="9" t="s">
        <v>813</v>
      </c>
      <c r="C40" s="48">
        <f>C81</f>
        <v>9273.111626593332</v>
      </c>
    </row>
    <row r="41" spans="1:3" ht="12.75">
      <c r="A41" s="84">
        <v>3</v>
      </c>
      <c r="B41" s="9" t="s">
        <v>653</v>
      </c>
      <c r="C41" s="48">
        <f>C82</f>
        <v>10071.973259081375</v>
      </c>
    </row>
    <row r="42" spans="1:3" ht="12.75">
      <c r="A42" s="84">
        <v>4</v>
      </c>
      <c r="B42" s="9" t="s">
        <v>1114</v>
      </c>
      <c r="C42" s="52">
        <f>C83</f>
        <v>20446.50841728123</v>
      </c>
    </row>
    <row r="43" spans="1:3" ht="12.75">
      <c r="A43" s="84">
        <v>5</v>
      </c>
      <c r="B43" s="9" t="s">
        <v>162</v>
      </c>
      <c r="C43" s="52">
        <f>C84</f>
        <v>17854.01497181523</v>
      </c>
    </row>
    <row r="44" spans="1:3" ht="12.75">
      <c r="A44" s="84">
        <v>6</v>
      </c>
      <c r="B44" s="9" t="s">
        <v>1051</v>
      </c>
      <c r="C44" s="48">
        <f>C85+C87+C88+C89+C86</f>
        <v>30298.187927896877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244304.95870266805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C20*2%</f>
        <v>20848.155</v>
      </c>
    </row>
    <row r="52" spans="1:3" ht="12.75">
      <c r="A52" s="84">
        <v>2</v>
      </c>
      <c r="B52" s="9" t="s">
        <v>391</v>
      </c>
      <c r="C52" s="48">
        <f>C53</f>
        <v>61293.575699999994</v>
      </c>
    </row>
    <row r="53" spans="1:4" ht="12.75">
      <c r="A53" s="49"/>
      <c r="B53" s="5" t="s">
        <v>334</v>
      </c>
      <c r="C53" s="41">
        <f>(C20-C51)*6%</f>
        <v>61293.575699999994</v>
      </c>
      <c r="D53" s="19"/>
    </row>
    <row r="54" spans="1:3" ht="13.5" thickBot="1">
      <c r="A54" s="54"/>
      <c r="B54" s="55" t="s">
        <v>967</v>
      </c>
      <c r="C54" s="56">
        <f>C51+C52</f>
        <v>82141.73069999999</v>
      </c>
    </row>
    <row r="55" spans="1:3" ht="12.75">
      <c r="A55" s="23"/>
      <c r="B55" s="4" t="s">
        <v>288</v>
      </c>
      <c r="C55" s="11">
        <f>C37+C49+C54</f>
        <v>996194.339402668</v>
      </c>
    </row>
    <row r="56" spans="1:3" ht="12.75">
      <c r="A56" s="23"/>
      <c r="B56" s="77"/>
      <c r="C56" s="1"/>
    </row>
    <row r="57" spans="1:3" ht="15">
      <c r="A57" s="23"/>
      <c r="B57" s="14" t="s">
        <v>975</v>
      </c>
      <c r="C57" s="1">
        <v>223454.56</v>
      </c>
    </row>
    <row r="58" spans="1:3" ht="15">
      <c r="A58" s="23"/>
      <c r="B58" s="14" t="s">
        <v>94</v>
      </c>
      <c r="C58" s="11">
        <f>C20+C57-C55</f>
        <v>269667.9705973321</v>
      </c>
    </row>
    <row r="59" ht="12.75">
      <c r="B59" s="1" t="s">
        <v>85</v>
      </c>
    </row>
    <row r="60" ht="13.5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1179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C8+C9</f>
        <v>5116.6</v>
      </c>
      <c r="E63" t="s">
        <v>116</v>
      </c>
    </row>
    <row r="64" spans="1:5" ht="12.75">
      <c r="A64" s="60" t="s">
        <v>218</v>
      </c>
      <c r="B64" s="39" t="s">
        <v>165</v>
      </c>
      <c r="C64" s="47">
        <v>465158.42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27248</v>
      </c>
      <c r="D66" s="15"/>
      <c r="E66" s="15"/>
    </row>
    <row r="67" spans="1:5" ht="12.75">
      <c r="A67" s="62" t="s">
        <v>166</v>
      </c>
      <c r="B67" s="6" t="s">
        <v>371</v>
      </c>
      <c r="C67" s="41">
        <v>14706.94</v>
      </c>
      <c r="D67" s="15"/>
      <c r="E67" s="15"/>
    </row>
    <row r="68" spans="1:5" ht="12.75">
      <c r="A68" s="62" t="s">
        <v>166</v>
      </c>
      <c r="B68" s="6" t="s">
        <v>1185</v>
      </c>
      <c r="C68" s="41">
        <v>1573</v>
      </c>
      <c r="D68" s="15"/>
      <c r="E68" s="15"/>
    </row>
    <row r="69" spans="1:5" ht="12.75">
      <c r="A69" s="62" t="s">
        <v>166</v>
      </c>
      <c r="B69" s="6" t="s">
        <v>1186</v>
      </c>
      <c r="C69" s="41">
        <v>83394.56</v>
      </c>
      <c r="D69" s="15"/>
      <c r="E69" s="15"/>
    </row>
    <row r="70" spans="1:5" ht="12.75">
      <c r="A70" s="62" t="s">
        <v>166</v>
      </c>
      <c r="B70" s="6" t="s">
        <v>1154</v>
      </c>
      <c r="C70" s="41">
        <v>16589.66</v>
      </c>
      <c r="D70" s="15"/>
      <c r="E70" s="15"/>
    </row>
    <row r="71" spans="1:5" ht="12.75">
      <c r="A71" s="62" t="s">
        <v>166</v>
      </c>
      <c r="B71" s="6" t="s">
        <v>825</v>
      </c>
      <c r="C71" s="41">
        <v>1300</v>
      </c>
      <c r="D71" s="15"/>
      <c r="E71" s="15"/>
    </row>
    <row r="72" spans="1:5" ht="12.75">
      <c r="A72" s="62" t="s">
        <v>166</v>
      </c>
      <c r="B72" s="6" t="s">
        <v>276</v>
      </c>
      <c r="C72" s="41">
        <v>866.67</v>
      </c>
      <c r="D72" s="15"/>
      <c r="E72" s="15"/>
    </row>
    <row r="73" spans="1:5" ht="13.5" thickBot="1">
      <c r="A73" s="63" t="s">
        <v>166</v>
      </c>
      <c r="B73" s="42" t="s">
        <v>818</v>
      </c>
      <c r="C73" s="46">
        <v>4519.21</v>
      </c>
      <c r="D73" s="15"/>
      <c r="E73" s="15"/>
    </row>
    <row r="74" spans="1:5" ht="12.75">
      <c r="A74" s="60" t="s">
        <v>328</v>
      </c>
      <c r="B74" s="39" t="s">
        <v>343</v>
      </c>
      <c r="C74" s="47">
        <v>39260.11</v>
      </c>
      <c r="D74" s="15"/>
      <c r="E74" s="12"/>
    </row>
    <row r="75" spans="1:5" ht="12.75">
      <c r="A75" s="61"/>
      <c r="B75" s="6" t="s">
        <v>118</v>
      </c>
      <c r="C75" s="41"/>
      <c r="D75" s="15"/>
      <c r="E75" s="12"/>
    </row>
    <row r="76" spans="1:5" ht="12.75">
      <c r="A76" s="62" t="s">
        <v>166</v>
      </c>
      <c r="B76" s="6" t="s">
        <v>380</v>
      </c>
      <c r="C76" s="41">
        <v>1234</v>
      </c>
      <c r="D76" s="15"/>
      <c r="E76" s="12"/>
    </row>
    <row r="77" spans="1:5" ht="12.75">
      <c r="A77" s="62" t="s">
        <v>166</v>
      </c>
      <c r="B77" s="6" t="s">
        <v>1183</v>
      </c>
      <c r="C77" s="41">
        <v>10448.19</v>
      </c>
      <c r="D77" s="15"/>
      <c r="E77" s="12"/>
    </row>
    <row r="78" spans="1:5" ht="13.5" thickBot="1">
      <c r="A78" s="63" t="s">
        <v>166</v>
      </c>
      <c r="B78" s="42" t="s">
        <v>818</v>
      </c>
      <c r="C78" s="46">
        <v>244.82</v>
      </c>
      <c r="D78" s="15"/>
      <c r="E78" s="15"/>
    </row>
    <row r="79" spans="1:5" ht="12.75">
      <c r="A79" s="300" t="s">
        <v>787</v>
      </c>
      <c r="B79" s="97" t="s">
        <v>1050</v>
      </c>
      <c r="C79" s="82">
        <f>C80+C81+C83+C82+C84+C85+C87+C88+C89+C86</f>
        <v>244304.95870266802</v>
      </c>
      <c r="D79" s="15"/>
      <c r="E79" s="12"/>
    </row>
    <row r="80" spans="1:5" ht="13.5" thickBot="1">
      <c r="A80" s="40" t="s">
        <v>166</v>
      </c>
      <c r="B80" s="6" t="s">
        <v>227</v>
      </c>
      <c r="C80" s="41">
        <f>C39</f>
        <v>156361.1625</v>
      </c>
      <c r="D80" s="15"/>
      <c r="E80" s="12"/>
    </row>
    <row r="81" spans="1:5" ht="12.75">
      <c r="A81" s="40" t="s">
        <v>166</v>
      </c>
      <c r="B81" s="6" t="s">
        <v>370</v>
      </c>
      <c r="C81" s="317">
        <f>401410.25/185335.63*C8</f>
        <v>9273.111626593332</v>
      </c>
      <c r="D81" s="375" t="s">
        <v>1180</v>
      </c>
      <c r="E81" s="376"/>
    </row>
    <row r="82" spans="1:5" ht="12.75">
      <c r="A82" s="73" t="s">
        <v>166</v>
      </c>
      <c r="B82" s="74" t="s">
        <v>397</v>
      </c>
      <c r="C82" s="317">
        <f>435991.01/185335.63*C8</f>
        <v>10071.973259081375</v>
      </c>
      <c r="D82" s="377" t="s">
        <v>1181</v>
      </c>
      <c r="E82" s="378"/>
    </row>
    <row r="83" spans="1:5" ht="12.75">
      <c r="A83" s="71" t="s">
        <v>166</v>
      </c>
      <c r="B83" s="72" t="s">
        <v>416</v>
      </c>
      <c r="C83" s="317">
        <f>1082167/226605.83*C8</f>
        <v>20446.50841728123</v>
      </c>
      <c r="D83" s="379" t="s">
        <v>1182</v>
      </c>
      <c r="E83" s="380"/>
    </row>
    <row r="84" spans="1:5" ht="25.5">
      <c r="A84" s="73" t="s">
        <v>166</v>
      </c>
      <c r="B84" s="72" t="s">
        <v>231</v>
      </c>
      <c r="C84" s="318">
        <f>845684.35/242356.05*D63</f>
        <v>17854.01497181523</v>
      </c>
      <c r="D84" s="381" t="s">
        <v>1190</v>
      </c>
      <c r="E84" s="382"/>
    </row>
    <row r="85" spans="1:5" ht="12.75">
      <c r="A85" s="73" t="s">
        <v>166</v>
      </c>
      <c r="B85" s="74" t="s">
        <v>808</v>
      </c>
      <c r="C85" s="318">
        <f>642562.44/242356.05*D63</f>
        <v>13565.722747602133</v>
      </c>
      <c r="D85" s="371" t="s">
        <v>1191</v>
      </c>
      <c r="E85" s="372"/>
    </row>
    <row r="86" spans="1:5" ht="12.75">
      <c r="A86" s="73" t="s">
        <v>166</v>
      </c>
      <c r="B86" s="74" t="s">
        <v>826</v>
      </c>
      <c r="C86" s="318">
        <f>51615/196822.43*D63</f>
        <v>1341.7846177389438</v>
      </c>
      <c r="D86" s="371" t="s">
        <v>1192</v>
      </c>
      <c r="E86" s="372"/>
    </row>
    <row r="87" spans="1:5" ht="12.75">
      <c r="A87" s="73" t="s">
        <v>166</v>
      </c>
      <c r="B87" s="74" t="s">
        <v>655</v>
      </c>
      <c r="C87" s="318">
        <f>129011.28/196822.43*D63</f>
        <v>3353.779928679877</v>
      </c>
      <c r="D87" s="371" t="s">
        <v>1193</v>
      </c>
      <c r="E87" s="372"/>
    </row>
    <row r="88" spans="1:5" ht="12.75">
      <c r="A88" s="73" t="s">
        <v>166</v>
      </c>
      <c r="B88" s="74" t="s">
        <v>656</v>
      </c>
      <c r="C88" s="318">
        <f>164128/196822.43*D63</f>
        <v>4266.674915049062</v>
      </c>
      <c r="D88" s="373" t="s">
        <v>1194</v>
      </c>
      <c r="E88" s="374"/>
    </row>
    <row r="89" spans="1:5" ht="13.5" thickBot="1">
      <c r="A89" s="75" t="s">
        <v>166</v>
      </c>
      <c r="B89" s="76" t="s">
        <v>809</v>
      </c>
      <c r="C89" s="319">
        <f>298900.58/196822.43*D63</f>
        <v>7770.225718826864</v>
      </c>
      <c r="D89" s="369" t="s">
        <v>1195</v>
      </c>
      <c r="E89" s="370"/>
    </row>
    <row r="90" ht="13.5" thickBot="1"/>
    <row r="91" spans="2:5" ht="26.25" thickBot="1">
      <c r="B91" s="143"/>
      <c r="C91" s="205" t="s">
        <v>104</v>
      </c>
      <c r="D91" s="236" t="s">
        <v>306</v>
      </c>
      <c r="E91" s="130" t="s">
        <v>305</v>
      </c>
    </row>
    <row r="92" spans="2:5" ht="13.5" thickBot="1">
      <c r="B92" s="393" t="s">
        <v>807</v>
      </c>
      <c r="C92" s="394"/>
      <c r="D92" s="394"/>
      <c r="E92" s="395"/>
    </row>
    <row r="93" spans="2:5" ht="12.75">
      <c r="B93" s="140" t="s">
        <v>285</v>
      </c>
      <c r="C93" s="234">
        <v>251631.49</v>
      </c>
      <c r="D93" s="218">
        <v>295733.55</v>
      </c>
      <c r="E93" s="44">
        <f aca="true" t="shared" si="1" ref="E93:E100">D93-C93</f>
        <v>44102.06</v>
      </c>
    </row>
    <row r="94" spans="2:5" ht="12.75">
      <c r="B94" s="115" t="s">
        <v>637</v>
      </c>
      <c r="C94" s="10">
        <v>150199.58</v>
      </c>
      <c r="D94" s="99">
        <v>175393.29</v>
      </c>
      <c r="E94" s="45">
        <f t="shared" si="1"/>
        <v>25193.71000000002</v>
      </c>
    </row>
    <row r="95" spans="2:5" ht="12.75">
      <c r="B95" s="115" t="s">
        <v>167</v>
      </c>
      <c r="C95" s="10">
        <v>799.23</v>
      </c>
      <c r="D95" s="98">
        <v>3176.32</v>
      </c>
      <c r="E95" s="45">
        <f t="shared" si="1"/>
        <v>2377.09</v>
      </c>
    </row>
    <row r="96" spans="2:5" ht="12.75">
      <c r="B96" s="115" t="s">
        <v>633</v>
      </c>
      <c r="C96" s="10">
        <v>23491.69</v>
      </c>
      <c r="D96" s="99">
        <v>26741.88</v>
      </c>
      <c r="E96" s="45">
        <f t="shared" si="1"/>
        <v>3250.1900000000023</v>
      </c>
    </row>
    <row r="97" spans="2:5" ht="12.75">
      <c r="B97" s="115" t="s">
        <v>447</v>
      </c>
      <c r="C97" s="10">
        <v>62870.15</v>
      </c>
      <c r="D97" s="98">
        <v>68844.48</v>
      </c>
      <c r="E97" s="45">
        <f t="shared" si="1"/>
        <v>5974.3299999999945</v>
      </c>
    </row>
    <row r="98" spans="2:5" ht="12.75">
      <c r="B98" s="115" t="s">
        <v>372</v>
      </c>
      <c r="C98" s="10">
        <v>10000</v>
      </c>
      <c r="D98" s="99">
        <v>10000</v>
      </c>
      <c r="E98" s="45">
        <f t="shared" si="1"/>
        <v>0</v>
      </c>
    </row>
    <row r="99" spans="2:5" ht="12.75">
      <c r="B99" s="115" t="s">
        <v>109</v>
      </c>
      <c r="C99" s="10">
        <v>20177.74</v>
      </c>
      <c r="D99" s="98">
        <v>20177.74</v>
      </c>
      <c r="E99" s="45">
        <f t="shared" si="1"/>
        <v>0</v>
      </c>
    </row>
    <row r="100" spans="2:5" ht="13.5" thickBot="1">
      <c r="B100" s="157" t="s">
        <v>110</v>
      </c>
      <c r="C100" s="225">
        <v>3600</v>
      </c>
      <c r="D100" s="235">
        <v>3600</v>
      </c>
      <c r="E100" s="46">
        <f t="shared" si="1"/>
        <v>0</v>
      </c>
    </row>
    <row r="101" spans="2:5" ht="13.5" thickBot="1">
      <c r="B101" s="124"/>
      <c r="C101" s="119">
        <f>SUM(C93:C100)</f>
        <v>522769.87999999995</v>
      </c>
      <c r="D101" s="119">
        <f>SUM(D93:D100)</f>
        <v>603667.26</v>
      </c>
      <c r="E101" s="119">
        <f>SUM(E93:E100)</f>
        <v>80897.38</v>
      </c>
    </row>
    <row r="102" spans="2:5" ht="13.5" thickBot="1">
      <c r="B102" s="363" t="s">
        <v>421</v>
      </c>
      <c r="C102" s="364"/>
      <c r="D102" s="364"/>
      <c r="E102" s="365"/>
    </row>
    <row r="103" spans="2:5" ht="12.75">
      <c r="B103" s="140" t="s">
        <v>285</v>
      </c>
      <c r="C103" s="223">
        <v>376862.04</v>
      </c>
      <c r="D103" s="223">
        <v>386522.05</v>
      </c>
      <c r="E103" s="44">
        <f aca="true" t="shared" si="2" ref="E103:E111">D103-C103</f>
        <v>9660.01000000001</v>
      </c>
    </row>
    <row r="104" spans="2:5" ht="12.75">
      <c r="B104" s="115" t="s">
        <v>637</v>
      </c>
      <c r="C104" s="28">
        <v>195276.41</v>
      </c>
      <c r="D104" s="18">
        <v>198149.05</v>
      </c>
      <c r="E104" s="45">
        <f t="shared" si="2"/>
        <v>2872.639999999985</v>
      </c>
    </row>
    <row r="105" spans="2:5" ht="12.75">
      <c r="B105" s="115" t="s">
        <v>408</v>
      </c>
      <c r="C105" s="28">
        <v>38000.18</v>
      </c>
      <c r="D105" s="18">
        <v>40569.11</v>
      </c>
      <c r="E105" s="45">
        <f t="shared" si="2"/>
        <v>2568.9300000000003</v>
      </c>
    </row>
    <row r="106" spans="2:5" ht="12.75">
      <c r="B106" s="115" t="s">
        <v>163</v>
      </c>
      <c r="C106" s="28">
        <v>22012.29</v>
      </c>
      <c r="D106" s="18">
        <v>28368.86</v>
      </c>
      <c r="E106" s="268">
        <f t="shared" si="2"/>
        <v>6356.57</v>
      </c>
    </row>
    <row r="107" spans="2:5" ht="12.75">
      <c r="B107" s="115" t="s">
        <v>415</v>
      </c>
      <c r="C107" s="28">
        <v>49890.91</v>
      </c>
      <c r="D107" s="18">
        <v>52035.76</v>
      </c>
      <c r="E107" s="268">
        <f t="shared" si="2"/>
        <v>2144.8499999999985</v>
      </c>
    </row>
    <row r="108" spans="2:5" ht="25.5">
      <c r="B108" s="269" t="s">
        <v>1046</v>
      </c>
      <c r="C108" s="112">
        <v>2500</v>
      </c>
      <c r="D108" s="111">
        <v>2500</v>
      </c>
      <c r="E108" s="268">
        <f t="shared" si="2"/>
        <v>0</v>
      </c>
    </row>
    <row r="109" spans="2:5" ht="12.75">
      <c r="B109" s="115" t="s">
        <v>232</v>
      </c>
      <c r="C109" s="112">
        <v>147326.19</v>
      </c>
      <c r="D109" s="18">
        <v>147091.29</v>
      </c>
      <c r="E109" s="268">
        <f t="shared" si="2"/>
        <v>-234.89999999999418</v>
      </c>
    </row>
    <row r="110" spans="2:5" ht="12.75">
      <c r="B110" s="115" t="s">
        <v>109</v>
      </c>
      <c r="C110" s="112">
        <v>22323.39</v>
      </c>
      <c r="D110" s="18">
        <v>22323.39</v>
      </c>
      <c r="E110" s="268">
        <f t="shared" si="2"/>
        <v>0</v>
      </c>
    </row>
    <row r="111" spans="2:5" ht="13.5" thickBot="1">
      <c r="B111" s="157" t="s">
        <v>110</v>
      </c>
      <c r="C111" s="224">
        <v>7935.6</v>
      </c>
      <c r="D111" s="215">
        <v>7935.6</v>
      </c>
      <c r="E111" s="246">
        <f t="shared" si="2"/>
        <v>0</v>
      </c>
    </row>
    <row r="112" spans="2:5" ht="13.5" thickBot="1">
      <c r="B112" s="124"/>
      <c r="C112" s="119">
        <f>SUM(C103:C111)</f>
        <v>862127.01</v>
      </c>
      <c r="D112" s="119">
        <f>SUM(D103:D111)</f>
        <v>885495.11</v>
      </c>
      <c r="E112" s="119">
        <f>SUM(E103:E111)</f>
        <v>23368.1</v>
      </c>
    </row>
    <row r="113" spans="2:5" ht="13.5" thickBot="1">
      <c r="B113" s="363" t="s">
        <v>1110</v>
      </c>
      <c r="C113" s="364"/>
      <c r="D113" s="364"/>
      <c r="E113" s="365"/>
    </row>
    <row r="114" spans="2:5" ht="12.75">
      <c r="B114" s="140" t="s">
        <v>285</v>
      </c>
      <c r="C114" s="234">
        <v>419255.88</v>
      </c>
      <c r="D114" s="218">
        <v>445488.88</v>
      </c>
      <c r="E114" s="253">
        <f aca="true" t="shared" si="3" ref="E114:E122">D114-C114</f>
        <v>26233</v>
      </c>
    </row>
    <row r="115" spans="2:5" ht="12.75">
      <c r="B115" s="115" t="s">
        <v>637</v>
      </c>
      <c r="C115" s="10">
        <v>206735.61</v>
      </c>
      <c r="D115" s="99">
        <v>217349.24</v>
      </c>
      <c r="E115" s="53">
        <f t="shared" si="3"/>
        <v>10613.630000000005</v>
      </c>
    </row>
    <row r="116" spans="2:5" ht="12.75">
      <c r="B116" s="220" t="s">
        <v>633</v>
      </c>
      <c r="C116" s="125">
        <v>59441.63</v>
      </c>
      <c r="D116" s="125">
        <v>63436.56</v>
      </c>
      <c r="E116" s="81">
        <f t="shared" si="3"/>
        <v>3994.9300000000003</v>
      </c>
    </row>
    <row r="117" spans="2:5" ht="12.75">
      <c r="B117" s="115" t="s">
        <v>163</v>
      </c>
      <c r="C117" s="28">
        <v>89774.87</v>
      </c>
      <c r="D117" s="110">
        <v>80128.75</v>
      </c>
      <c r="E117" s="268">
        <f t="shared" si="3"/>
        <v>-9646.119999999995</v>
      </c>
    </row>
    <row r="118" spans="2:5" ht="12.75">
      <c r="B118" s="115" t="s">
        <v>415</v>
      </c>
      <c r="C118" s="28">
        <v>1112.16</v>
      </c>
      <c r="D118" s="110">
        <v>0</v>
      </c>
      <c r="E118" s="268">
        <f t="shared" si="3"/>
        <v>-1112.16</v>
      </c>
    </row>
    <row r="119" spans="2:5" ht="12.75">
      <c r="B119" s="115" t="s">
        <v>232</v>
      </c>
      <c r="C119" s="112">
        <v>101430.11</v>
      </c>
      <c r="D119" s="110">
        <v>157098.79</v>
      </c>
      <c r="E119" s="268">
        <f t="shared" si="3"/>
        <v>55668.68000000001</v>
      </c>
    </row>
    <row r="120" spans="2:5" ht="12.75">
      <c r="B120" s="115" t="s">
        <v>367</v>
      </c>
      <c r="C120" s="112">
        <v>6000</v>
      </c>
      <c r="D120" s="35">
        <v>6000</v>
      </c>
      <c r="E120" s="268">
        <f t="shared" si="3"/>
        <v>0</v>
      </c>
    </row>
    <row r="121" spans="2:5" ht="12.75">
      <c r="B121" s="115" t="s">
        <v>109</v>
      </c>
      <c r="C121" s="112">
        <v>23792.76</v>
      </c>
      <c r="D121" s="110">
        <v>23792.76</v>
      </c>
      <c r="E121" s="268">
        <f t="shared" si="3"/>
        <v>0</v>
      </c>
    </row>
    <row r="122" spans="2:5" ht="13.5" thickBot="1">
      <c r="B122" s="157" t="s">
        <v>110</v>
      </c>
      <c r="C122" s="224">
        <v>3587.36</v>
      </c>
      <c r="D122" s="265">
        <v>3587.36</v>
      </c>
      <c r="E122" s="246">
        <f t="shared" si="3"/>
        <v>0</v>
      </c>
    </row>
    <row r="123" spans="2:5" ht="13.5" thickBot="1">
      <c r="B123" s="187"/>
      <c r="C123" s="256">
        <f>SUM(C114:C122)</f>
        <v>911130.38</v>
      </c>
      <c r="D123" s="256">
        <f>SUM(D114:D122)</f>
        <v>996882.34</v>
      </c>
      <c r="E123" s="256">
        <f>SUM(E114:E122)</f>
        <v>85751.96000000002</v>
      </c>
    </row>
    <row r="124" spans="2:5" ht="13.5" thickBot="1">
      <c r="B124" s="363" t="s">
        <v>206</v>
      </c>
      <c r="C124" s="364"/>
      <c r="D124" s="364"/>
      <c r="E124" s="365"/>
    </row>
    <row r="125" spans="2:5" ht="12.75">
      <c r="B125" s="140" t="s">
        <v>285</v>
      </c>
      <c r="C125" s="234">
        <v>469120.58</v>
      </c>
      <c r="D125" s="218">
        <v>465349.03</v>
      </c>
      <c r="E125" s="253">
        <f aca="true" t="shared" si="4" ref="E125:E132">D125-C125</f>
        <v>-3771.5499999999884</v>
      </c>
    </row>
    <row r="126" spans="2:5" ht="12.75">
      <c r="B126" s="115" t="s">
        <v>637</v>
      </c>
      <c r="C126" s="10">
        <v>228156.06</v>
      </c>
      <c r="D126" s="99">
        <v>229848.57</v>
      </c>
      <c r="E126" s="53">
        <f t="shared" si="4"/>
        <v>1692.5100000000093</v>
      </c>
    </row>
    <row r="127" spans="2:5" ht="12.75">
      <c r="B127" s="220" t="s">
        <v>633</v>
      </c>
      <c r="C127" s="125">
        <v>65977.42</v>
      </c>
      <c r="D127" s="125">
        <v>66256.84</v>
      </c>
      <c r="E127" s="53">
        <f t="shared" si="4"/>
        <v>279.41999999999825</v>
      </c>
    </row>
    <row r="128" spans="2:5" ht="12.75">
      <c r="B128" s="115" t="s">
        <v>1200</v>
      </c>
      <c r="C128" s="28">
        <v>3701.44</v>
      </c>
      <c r="D128" s="110">
        <v>3701.44</v>
      </c>
      <c r="E128" s="53">
        <f t="shared" si="4"/>
        <v>0</v>
      </c>
    </row>
    <row r="129" spans="2:5" ht="12.75">
      <c r="B129" s="115" t="s">
        <v>232</v>
      </c>
      <c r="C129" s="112">
        <v>204000.89</v>
      </c>
      <c r="D129" s="110">
        <v>220716.41</v>
      </c>
      <c r="E129" s="53">
        <f t="shared" si="4"/>
        <v>16715.51999999999</v>
      </c>
    </row>
    <row r="130" spans="2:5" ht="12.75">
      <c r="B130" s="115" t="s">
        <v>367</v>
      </c>
      <c r="C130" s="112">
        <v>4500</v>
      </c>
      <c r="D130" s="35">
        <v>6000</v>
      </c>
      <c r="E130" s="53">
        <f t="shared" si="4"/>
        <v>1500</v>
      </c>
    </row>
    <row r="131" spans="2:5" ht="12.75">
      <c r="B131" s="115" t="s">
        <v>109</v>
      </c>
      <c r="C131" s="112">
        <v>25035.91</v>
      </c>
      <c r="D131" s="110">
        <v>25035.91</v>
      </c>
      <c r="E131" s="53">
        <f t="shared" si="4"/>
        <v>0</v>
      </c>
    </row>
    <row r="132" spans="2:5" ht="13.5" thickBot="1">
      <c r="B132" s="157" t="s">
        <v>110</v>
      </c>
      <c r="C132" s="224">
        <v>5405.28</v>
      </c>
      <c r="D132" s="265">
        <v>5405.28</v>
      </c>
      <c r="E132" s="85">
        <f t="shared" si="4"/>
        <v>0</v>
      </c>
    </row>
    <row r="133" spans="2:5" ht="13.5" thickBot="1">
      <c r="B133" s="187"/>
      <c r="C133" s="254">
        <f>SUM(C125:C132)</f>
        <v>1005897.5800000001</v>
      </c>
      <c r="D133" s="255">
        <f>SUM(D125:D132)</f>
        <v>1022313.4800000001</v>
      </c>
      <c r="E133" s="256">
        <f>SUM(E125:E132)</f>
        <v>16415.90000000001</v>
      </c>
    </row>
    <row r="134" spans="2:5" ht="13.5" thickBot="1">
      <c r="B134" s="363" t="s">
        <v>437</v>
      </c>
      <c r="C134" s="364"/>
      <c r="D134" s="364"/>
      <c r="E134" s="365"/>
    </row>
    <row r="135" spans="2:5" ht="12.75">
      <c r="B135" s="140" t="s">
        <v>285</v>
      </c>
      <c r="C135" s="234">
        <v>376789.65</v>
      </c>
      <c r="D135" s="218">
        <v>327590.61</v>
      </c>
      <c r="E135" s="253">
        <f aca="true" t="shared" si="5" ref="E135:E145">D135-C135</f>
        <v>-49199.04000000004</v>
      </c>
    </row>
    <row r="136" spans="2:5" ht="12.75">
      <c r="B136" s="115" t="s">
        <v>637</v>
      </c>
      <c r="C136" s="10">
        <v>185042.21</v>
      </c>
      <c r="D136" s="99">
        <v>159055.78</v>
      </c>
      <c r="E136" s="53">
        <f t="shared" si="5"/>
        <v>-25986.429999999993</v>
      </c>
    </row>
    <row r="137" spans="2:5" ht="12.75">
      <c r="B137" s="220" t="s">
        <v>633</v>
      </c>
      <c r="C137" s="125">
        <v>54251.78</v>
      </c>
      <c r="D137" s="125">
        <v>47056.02</v>
      </c>
      <c r="E137" s="81">
        <f t="shared" si="5"/>
        <v>-7195.760000000002</v>
      </c>
    </row>
    <row r="138" spans="2:5" ht="12.75">
      <c r="B138" s="220" t="s">
        <v>811</v>
      </c>
      <c r="C138" s="125">
        <v>21170.98</v>
      </c>
      <c r="D138" s="125">
        <v>21279.23</v>
      </c>
      <c r="E138" s="81">
        <f t="shared" si="5"/>
        <v>108.25</v>
      </c>
    </row>
    <row r="139" spans="2:5" ht="12.75">
      <c r="B139" s="269" t="s">
        <v>423</v>
      </c>
      <c r="C139" s="107">
        <v>1715.87</v>
      </c>
      <c r="D139" s="107">
        <v>2420</v>
      </c>
      <c r="E139" s="81">
        <f t="shared" si="5"/>
        <v>704.1300000000001</v>
      </c>
    </row>
    <row r="140" spans="2:5" ht="12.75">
      <c r="B140" s="115" t="s">
        <v>163</v>
      </c>
      <c r="C140" s="125">
        <v>181.36</v>
      </c>
      <c r="D140" s="125">
        <v>-557.86</v>
      </c>
      <c r="E140" s="81">
        <f t="shared" si="5"/>
        <v>-739.22</v>
      </c>
    </row>
    <row r="141" spans="2:5" ht="12.75">
      <c r="B141" s="115" t="s">
        <v>232</v>
      </c>
      <c r="C141" s="125">
        <v>94905.33</v>
      </c>
      <c r="D141" s="125">
        <v>82807.74</v>
      </c>
      <c r="E141" s="81">
        <f t="shared" si="5"/>
        <v>-12097.589999999997</v>
      </c>
    </row>
    <row r="142" spans="2:5" ht="12.75">
      <c r="B142" s="220" t="s">
        <v>792</v>
      </c>
      <c r="C142" s="125">
        <v>1500</v>
      </c>
      <c r="D142" s="125">
        <v>2000</v>
      </c>
      <c r="E142" s="81">
        <f t="shared" si="5"/>
        <v>500</v>
      </c>
    </row>
    <row r="143" spans="2:5" ht="12.75">
      <c r="B143" s="115" t="s">
        <v>109</v>
      </c>
      <c r="C143" s="112">
        <v>8345.3</v>
      </c>
      <c r="D143" s="110">
        <v>8345.3</v>
      </c>
      <c r="E143" s="53">
        <f t="shared" si="5"/>
        <v>0</v>
      </c>
    </row>
    <row r="144" spans="2:5" ht="12.75">
      <c r="B144" s="115" t="s">
        <v>367</v>
      </c>
      <c r="C144" s="112">
        <v>3000</v>
      </c>
      <c r="D144" s="35">
        <v>2500</v>
      </c>
      <c r="E144" s="53">
        <f t="shared" si="5"/>
        <v>-500</v>
      </c>
    </row>
    <row r="145" spans="2:5" ht="13.5" thickBot="1">
      <c r="B145" s="157" t="s">
        <v>110</v>
      </c>
      <c r="C145" s="224">
        <v>3603.52</v>
      </c>
      <c r="D145" s="265">
        <v>3603.52</v>
      </c>
      <c r="E145" s="262">
        <f t="shared" si="5"/>
        <v>0</v>
      </c>
    </row>
    <row r="146" spans="2:5" ht="13.5" thickBot="1">
      <c r="B146" s="187"/>
      <c r="C146" s="254">
        <f>SUM(C135:C145)</f>
        <v>750506</v>
      </c>
      <c r="D146" s="255">
        <f>SUM(D135:D145)</f>
        <v>656100.3400000001</v>
      </c>
      <c r="E146" s="256">
        <f>SUM(E135:E145)</f>
        <v>-94405.66000000003</v>
      </c>
    </row>
    <row r="147" spans="2:5" ht="13.5" thickBot="1">
      <c r="B147" s="363" t="s">
        <v>87</v>
      </c>
      <c r="C147" s="364"/>
      <c r="D147" s="364"/>
      <c r="E147" s="365"/>
    </row>
    <row r="148" spans="2:5" ht="12.75">
      <c r="B148" s="140" t="s">
        <v>285</v>
      </c>
      <c r="C148" s="234">
        <v>485217.22</v>
      </c>
      <c r="D148" s="155">
        <v>529599.83</v>
      </c>
      <c r="E148" s="253">
        <f aca="true" t="shared" si="6" ref="E148:E155">D148-C148</f>
        <v>44382.609999999986</v>
      </c>
    </row>
    <row r="149" spans="2:5" ht="12.75">
      <c r="B149" s="115" t="s">
        <v>637</v>
      </c>
      <c r="C149" s="10">
        <v>238924.34</v>
      </c>
      <c r="D149" s="34">
        <v>260230.56</v>
      </c>
      <c r="E149" s="53">
        <f t="shared" si="6"/>
        <v>21306.22</v>
      </c>
    </row>
    <row r="150" spans="2:5" ht="12.75">
      <c r="B150" s="115" t="s">
        <v>633</v>
      </c>
      <c r="C150" s="67">
        <v>69325.92</v>
      </c>
      <c r="D150" s="83">
        <v>76290.74</v>
      </c>
      <c r="E150" s="81">
        <f t="shared" si="6"/>
        <v>6964.820000000007</v>
      </c>
    </row>
    <row r="151" spans="2:5" ht="12.75">
      <c r="B151" s="116" t="s">
        <v>364</v>
      </c>
      <c r="C151" s="94">
        <v>55375.82</v>
      </c>
      <c r="D151" s="83">
        <v>61081.32</v>
      </c>
      <c r="E151" s="81">
        <f>D151-C151</f>
        <v>5705.5</v>
      </c>
    </row>
    <row r="152" spans="2:5" ht="12.75">
      <c r="B152" s="352" t="s">
        <v>1187</v>
      </c>
      <c r="C152" s="258">
        <v>6682.89</v>
      </c>
      <c r="D152" s="258">
        <v>6682.89</v>
      </c>
      <c r="E152" s="81">
        <f t="shared" si="6"/>
        <v>0</v>
      </c>
    </row>
    <row r="153" spans="2:5" ht="12.75">
      <c r="B153" s="116" t="s">
        <v>29</v>
      </c>
      <c r="C153" s="94">
        <f>2400+3600+1000</f>
        <v>7000</v>
      </c>
      <c r="D153" s="83">
        <f>2400+3300+1000</f>
        <v>6700</v>
      </c>
      <c r="E153" s="81">
        <f t="shared" si="6"/>
        <v>-300</v>
      </c>
    </row>
    <row r="154" spans="2:5" ht="12.75">
      <c r="B154" s="269" t="s">
        <v>393</v>
      </c>
      <c r="C154" s="122">
        <v>1568</v>
      </c>
      <c r="D154" s="122">
        <v>863.87</v>
      </c>
      <c r="E154" s="81">
        <f t="shared" si="6"/>
        <v>-704.13</v>
      </c>
    </row>
    <row r="155" spans="2:5" ht="13.5" thickBot="1">
      <c r="B155" s="157" t="s">
        <v>805</v>
      </c>
      <c r="C155" s="225">
        <f>62249.87+10895.67+100887.72+4280.3</f>
        <v>178313.56</v>
      </c>
      <c r="D155" s="226">
        <f>62249.87+11496.13+100887.72+2999.15</f>
        <v>177632.87</v>
      </c>
      <c r="E155" s="85">
        <f t="shared" si="6"/>
        <v>-680.6900000000023</v>
      </c>
    </row>
    <row r="156" spans="2:5" ht="13.5" thickBot="1">
      <c r="B156" s="324"/>
      <c r="C156" s="119">
        <f>SUM(C148:C155)</f>
        <v>1042407.75</v>
      </c>
      <c r="D156" s="119">
        <f>SUM(D148:D155)</f>
        <v>1119082.0799999998</v>
      </c>
      <c r="E156" s="119">
        <f>SUM(E148:E155)</f>
        <v>76674.32999999999</v>
      </c>
    </row>
    <row r="157" spans="2:5" ht="13.5" thickBot="1">
      <c r="B157" s="366" t="s">
        <v>379</v>
      </c>
      <c r="C157" s="367"/>
      <c r="D157" s="367"/>
      <c r="E157" s="368"/>
    </row>
    <row r="158" spans="2:5" ht="13.5" thickBot="1">
      <c r="B158" s="153"/>
      <c r="C158" s="126">
        <f>C112+C123+C101+C133+C146+C156</f>
        <v>5094838.6</v>
      </c>
      <c r="D158" s="126">
        <f>D112+D123+D101+D133+D146+D156</f>
        <v>5283540.61</v>
      </c>
      <c r="E158" s="126">
        <f>E112+E123+E101+E133+E146+E156</f>
        <v>188702.00999999998</v>
      </c>
    </row>
  </sheetData>
  <sheetProtection/>
  <mergeCells count="24">
    <mergeCell ref="A6:E6"/>
    <mergeCell ref="A21:D21"/>
    <mergeCell ref="A22:D22"/>
    <mergeCell ref="D26:E26"/>
    <mergeCell ref="A2:B2"/>
    <mergeCell ref="C2:E2"/>
    <mergeCell ref="C3:E3"/>
    <mergeCell ref="B4:E4"/>
    <mergeCell ref="D85:E85"/>
    <mergeCell ref="D86:E86"/>
    <mergeCell ref="D87:E87"/>
    <mergeCell ref="D88:E88"/>
    <mergeCell ref="D81:E81"/>
    <mergeCell ref="D82:E82"/>
    <mergeCell ref="D83:E83"/>
    <mergeCell ref="D84:E84"/>
    <mergeCell ref="B134:E134"/>
    <mergeCell ref="B157:E157"/>
    <mergeCell ref="B147:E147"/>
    <mergeCell ref="D89:E89"/>
    <mergeCell ref="B92:E92"/>
    <mergeCell ref="B102:E102"/>
    <mergeCell ref="B113:E113"/>
    <mergeCell ref="B124:E124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8.00390625" style="0" customWidth="1"/>
    <col min="3" max="3" width="10.375" style="0" customWidth="1"/>
    <col min="4" max="4" width="12.125" style="0" customWidth="1"/>
    <col min="5" max="5" width="13.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209</v>
      </c>
      <c r="C7" s="26"/>
      <c r="D7" s="24"/>
    </row>
    <row r="8" spans="1:4" ht="15">
      <c r="A8" s="26"/>
      <c r="B8" s="27" t="s">
        <v>115</v>
      </c>
      <c r="C8" s="38">
        <v>4270.2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f>470890.07+761.54</f>
        <v>471651.61</v>
      </c>
      <c r="D11" s="218">
        <f>485249.82+1105.11</f>
        <v>486354.93</v>
      </c>
      <c r="E11" s="242">
        <f aca="true" t="shared" si="0" ref="E11:E17">D11-C11</f>
        <v>14703.320000000007</v>
      </c>
    </row>
    <row r="12" spans="1:5" ht="12.75">
      <c r="A12" s="84">
        <v>2</v>
      </c>
      <c r="B12" s="5" t="s">
        <v>637</v>
      </c>
      <c r="C12" s="10">
        <v>238879.91</v>
      </c>
      <c r="D12" s="98">
        <v>249311.88</v>
      </c>
      <c r="E12" s="57">
        <f t="shared" si="0"/>
        <v>10431.970000000001</v>
      </c>
    </row>
    <row r="13" spans="1:5" ht="12.75">
      <c r="A13" s="84">
        <v>3</v>
      </c>
      <c r="B13" s="5" t="s">
        <v>364</v>
      </c>
      <c r="C13" s="10">
        <v>121517.87</v>
      </c>
      <c r="D13" s="98">
        <v>112230.35</v>
      </c>
      <c r="E13" s="57">
        <f t="shared" si="0"/>
        <v>-9287.51999999999</v>
      </c>
    </row>
    <row r="14" spans="1:5" ht="12.75">
      <c r="A14" s="84">
        <v>4</v>
      </c>
      <c r="B14" s="5" t="s">
        <v>633</v>
      </c>
      <c r="C14" s="10">
        <v>91820.43</v>
      </c>
      <c r="D14" s="98">
        <v>96174.28</v>
      </c>
      <c r="E14" s="57">
        <f t="shared" si="0"/>
        <v>4353.850000000006</v>
      </c>
    </row>
    <row r="15" spans="1:5" ht="12.75">
      <c r="A15" s="84">
        <v>5</v>
      </c>
      <c r="B15" s="5" t="s">
        <v>1061</v>
      </c>
      <c r="C15" s="10">
        <f>2400+3600</f>
        <v>6000</v>
      </c>
      <c r="D15" s="98">
        <f>2400+3300</f>
        <v>5700</v>
      </c>
      <c r="E15" s="57">
        <f t="shared" si="0"/>
        <v>-300</v>
      </c>
    </row>
    <row r="16" spans="1:5" ht="12.75">
      <c r="A16" s="84">
        <v>6</v>
      </c>
      <c r="B16" s="105" t="s">
        <v>862</v>
      </c>
      <c r="C16" s="10">
        <v>182.68</v>
      </c>
      <c r="D16" s="98">
        <v>0</v>
      </c>
      <c r="E16" s="57">
        <f t="shared" si="0"/>
        <v>-182.68</v>
      </c>
    </row>
    <row r="17" spans="1:5" ht="12.75" customHeight="1" thickBot="1">
      <c r="A17" s="261">
        <v>7</v>
      </c>
      <c r="B17" s="357" t="s">
        <v>1088</v>
      </c>
      <c r="C17" s="142">
        <v>14583.74</v>
      </c>
      <c r="D17" s="142">
        <v>14583.74</v>
      </c>
      <c r="E17" s="222">
        <f t="shared" si="0"/>
        <v>0</v>
      </c>
    </row>
    <row r="18" spans="1:5" ht="13.5" thickBot="1">
      <c r="A18" s="250"/>
      <c r="B18" s="251"/>
      <c r="C18" s="118">
        <f>SUM(C11:C17)</f>
        <v>944636.2400000001</v>
      </c>
      <c r="D18" s="118">
        <f>SUM(D11:D17)</f>
        <v>964355.18</v>
      </c>
      <c r="E18" s="137">
        <f>SUM(E11:E17)</f>
        <v>19718.940000000024</v>
      </c>
    </row>
    <row r="19" spans="1:5" ht="12.75">
      <c r="A19" s="385" t="s">
        <v>793</v>
      </c>
      <c r="B19" s="386"/>
      <c r="C19" s="386"/>
      <c r="D19" s="386"/>
      <c r="E19" s="108">
        <f>E124</f>
        <v>133120.9500000001</v>
      </c>
    </row>
    <row r="20" spans="1:5" ht="12.75">
      <c r="A20" s="387" t="s">
        <v>794</v>
      </c>
      <c r="B20" s="384"/>
      <c r="C20" s="384"/>
      <c r="D20" s="384"/>
      <c r="E20" s="259">
        <v>158441.1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12.75">
      <c r="A23" s="86">
        <v>1</v>
      </c>
      <c r="B23" s="64" t="s">
        <v>446</v>
      </c>
      <c r="C23" s="80">
        <f>C62</f>
        <v>307001.75</v>
      </c>
      <c r="E23" s="29"/>
    </row>
    <row r="24" spans="1:5" ht="12.75">
      <c r="A24" s="91">
        <v>2</v>
      </c>
      <c r="B24" s="25" t="s">
        <v>344</v>
      </c>
      <c r="C24" s="102">
        <f>C68</f>
        <v>14806.77</v>
      </c>
      <c r="D24" s="388"/>
      <c r="E24" s="389"/>
    </row>
    <row r="25" spans="1:5" ht="12.75">
      <c r="A25" s="84">
        <v>3</v>
      </c>
      <c r="B25" s="9" t="s">
        <v>649</v>
      </c>
      <c r="C25" s="48">
        <v>36898.5</v>
      </c>
      <c r="E25" s="29"/>
    </row>
    <row r="26" spans="1:5" ht="12.75">
      <c r="A26" s="84">
        <v>4</v>
      </c>
      <c r="B26" s="9" t="s">
        <v>122</v>
      </c>
      <c r="C26" s="48">
        <f>(C8*0.55*12)</f>
        <v>28183.32</v>
      </c>
      <c r="E26" s="29"/>
    </row>
    <row r="27" spans="1:5" ht="12.75">
      <c r="A27" s="84">
        <v>5</v>
      </c>
      <c r="B27" s="9" t="s">
        <v>658</v>
      </c>
      <c r="C27" s="79">
        <v>82864.08</v>
      </c>
      <c r="E27" s="29"/>
    </row>
    <row r="28" spans="1:5" ht="12.75">
      <c r="A28" s="91">
        <v>6</v>
      </c>
      <c r="B28" s="25" t="s">
        <v>61</v>
      </c>
      <c r="C28" s="96">
        <v>2400</v>
      </c>
      <c r="E28" s="29"/>
    </row>
    <row r="29" spans="1:5" ht="12.75">
      <c r="A29" s="91">
        <v>7</v>
      </c>
      <c r="B29" s="25" t="s">
        <v>864</v>
      </c>
      <c r="C29" s="96">
        <v>4851</v>
      </c>
      <c r="E29" s="29"/>
    </row>
    <row r="30" spans="1:5" ht="12.75">
      <c r="A30" s="91">
        <v>8</v>
      </c>
      <c r="B30" s="346" t="s">
        <v>26</v>
      </c>
      <c r="C30" s="96">
        <v>600</v>
      </c>
      <c r="E30" s="29"/>
    </row>
    <row r="31" spans="1:5" ht="25.5">
      <c r="A31" s="91">
        <v>9</v>
      </c>
      <c r="B31" s="25" t="s">
        <v>60</v>
      </c>
      <c r="C31" s="96">
        <v>10700</v>
      </c>
      <c r="E31" s="29"/>
    </row>
    <row r="32" spans="1:5" ht="12.75" customHeight="1">
      <c r="A32" s="91">
        <v>10</v>
      </c>
      <c r="B32" s="25" t="s">
        <v>444</v>
      </c>
      <c r="C32" s="96">
        <v>6000</v>
      </c>
      <c r="E32" s="29"/>
    </row>
    <row r="33" spans="1:5" ht="38.25">
      <c r="A33" s="91">
        <v>11</v>
      </c>
      <c r="B33" s="25" t="s">
        <v>863</v>
      </c>
      <c r="C33" s="349">
        <v>2346.18</v>
      </c>
      <c r="E33" s="29"/>
    </row>
    <row r="34" spans="1:3" ht="12.75">
      <c r="A34" s="50"/>
      <c r="B34" s="20" t="s">
        <v>629</v>
      </c>
      <c r="C34" s="51">
        <f>SUM(C23:C33)</f>
        <v>496651.60000000003</v>
      </c>
    </row>
    <row r="35" spans="1:3" ht="12.75">
      <c r="A35" s="49"/>
      <c r="B35" s="8" t="s">
        <v>965</v>
      </c>
      <c r="C35" s="45"/>
    </row>
    <row r="36" spans="1:3" ht="12.75">
      <c r="A36" s="84">
        <v>1</v>
      </c>
      <c r="B36" s="9" t="s">
        <v>228</v>
      </c>
      <c r="C36" s="48">
        <f>(C18)*15%</f>
        <v>141695.43600000002</v>
      </c>
    </row>
    <row r="37" spans="1:3" ht="12.75">
      <c r="A37" s="84">
        <v>2</v>
      </c>
      <c r="B37" s="9" t="s">
        <v>813</v>
      </c>
      <c r="C37" s="48">
        <f>C74</f>
        <v>9248.637456003467</v>
      </c>
    </row>
    <row r="38" spans="1:3" ht="12.75">
      <c r="A38" s="84">
        <v>3</v>
      </c>
      <c r="B38" s="9" t="s">
        <v>653</v>
      </c>
      <c r="C38" s="48">
        <f>C75</f>
        <v>10045.390683388832</v>
      </c>
    </row>
    <row r="39" spans="1:3" ht="12.75">
      <c r="A39" s="84">
        <v>4</v>
      </c>
      <c r="B39" s="9" t="s">
        <v>1114</v>
      </c>
      <c r="C39" s="52">
        <f>C76</f>
        <v>20392.544725791035</v>
      </c>
    </row>
    <row r="40" spans="1:3" ht="12.75">
      <c r="A40" s="84">
        <v>5</v>
      </c>
      <c r="B40" s="9" t="s">
        <v>162</v>
      </c>
      <c r="C40" s="52">
        <f>C77</f>
        <v>14900.561844319545</v>
      </c>
    </row>
    <row r="41" spans="1:3" ht="12.75">
      <c r="A41" s="84">
        <v>6</v>
      </c>
      <c r="B41" s="9" t="s">
        <v>1051</v>
      </c>
      <c r="C41" s="48">
        <f>C78+C80+C81+C82+C79</f>
        <v>25286.19045649557</v>
      </c>
    </row>
    <row r="42" spans="1:3" ht="12.75">
      <c r="A42" s="49"/>
      <c r="B42" s="74" t="s">
        <v>809</v>
      </c>
      <c r="C42" s="53"/>
    </row>
    <row r="43" spans="1:3" ht="12.75">
      <c r="A43" s="49"/>
      <c r="B43" s="5" t="s">
        <v>655</v>
      </c>
      <c r="C43" s="53"/>
    </row>
    <row r="44" spans="1:3" ht="12.75">
      <c r="A44" s="49"/>
      <c r="B44" s="74" t="s">
        <v>656</v>
      </c>
      <c r="C44" s="53"/>
    </row>
    <row r="45" spans="1:3" ht="12.75">
      <c r="A45" s="49"/>
      <c r="B45" s="74" t="s">
        <v>808</v>
      </c>
      <c r="C45" s="53"/>
    </row>
    <row r="46" spans="1:3" ht="12.75">
      <c r="A46" s="50"/>
      <c r="B46" s="20" t="s">
        <v>629</v>
      </c>
      <c r="C46" s="51">
        <f>C36+C37+C38+C39+C40+C41</f>
        <v>221568.76116599844</v>
      </c>
    </row>
    <row r="47" spans="1:3" ht="12.75">
      <c r="A47" s="49"/>
      <c r="B47" s="7" t="s">
        <v>966</v>
      </c>
      <c r="C47" s="45"/>
    </row>
    <row r="48" spans="1:3" ht="12.75">
      <c r="A48" s="84">
        <v>1</v>
      </c>
      <c r="B48" s="9" t="s">
        <v>631</v>
      </c>
      <c r="C48" s="48">
        <f>C18*2%</f>
        <v>18892.724800000004</v>
      </c>
    </row>
    <row r="49" spans="1:3" ht="12.75">
      <c r="A49" s="84">
        <v>2</v>
      </c>
      <c r="B49" s="9" t="s">
        <v>391</v>
      </c>
      <c r="C49" s="48">
        <f>C50</f>
        <v>55544.610912000004</v>
      </c>
    </row>
    <row r="50" spans="1:4" ht="12.75">
      <c r="A50" s="49"/>
      <c r="B50" s="5" t="s">
        <v>334</v>
      </c>
      <c r="C50" s="41">
        <f>(C18-C48)*6%</f>
        <v>55544.610912000004</v>
      </c>
      <c r="D50" s="19"/>
    </row>
    <row r="51" spans="1:3" ht="13.5" thickBot="1">
      <c r="A51" s="54"/>
      <c r="B51" s="55" t="s">
        <v>967</v>
      </c>
      <c r="C51" s="56">
        <f>C48+C49</f>
        <v>74437.335712</v>
      </c>
    </row>
    <row r="52" spans="1:3" ht="12.75">
      <c r="A52" s="23"/>
      <c r="B52" s="4" t="s">
        <v>288</v>
      </c>
      <c r="C52" s="11">
        <f>C34+C46+C51</f>
        <v>792657.6968779985</v>
      </c>
    </row>
    <row r="53" spans="1:3" ht="12.75">
      <c r="A53" s="23"/>
      <c r="B53" s="77"/>
      <c r="C53" s="1"/>
    </row>
    <row r="54" spans="1:3" ht="15">
      <c r="A54" s="23"/>
      <c r="B54" s="14" t="s">
        <v>812</v>
      </c>
      <c r="C54" s="11">
        <v>461154.8</v>
      </c>
    </row>
    <row r="55" spans="1:3" ht="15">
      <c r="A55" s="23"/>
      <c r="B55" s="14" t="s">
        <v>12</v>
      </c>
      <c r="C55" s="11">
        <v>142705.88</v>
      </c>
    </row>
    <row r="56" spans="1:3" ht="15">
      <c r="A56" s="23"/>
      <c r="B56" s="14" t="s">
        <v>180</v>
      </c>
      <c r="C56" s="11">
        <f>C52+C54-C55-C18</f>
        <v>166470.37687799858</v>
      </c>
    </row>
    <row r="57" ht="12.75">
      <c r="B57" s="1" t="s">
        <v>85</v>
      </c>
    </row>
    <row r="58" ht="16.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84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4270.2</v>
      </c>
      <c r="E61" t="s">
        <v>116</v>
      </c>
    </row>
    <row r="62" spans="1:5" ht="12.75">
      <c r="A62" s="60" t="s">
        <v>218</v>
      </c>
      <c r="B62" s="39" t="s">
        <v>832</v>
      </c>
      <c r="C62" s="47">
        <v>307001.75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30036.1</v>
      </c>
      <c r="D64" s="15"/>
      <c r="E64" s="15"/>
    </row>
    <row r="65" spans="1:5" ht="12.75">
      <c r="A65" s="62" t="s">
        <v>166</v>
      </c>
      <c r="B65" s="6" t="s">
        <v>341</v>
      </c>
      <c r="C65" s="41">
        <v>12208.35</v>
      </c>
      <c r="D65" s="15"/>
      <c r="E65" s="15"/>
    </row>
    <row r="66" spans="1:5" ht="13.5" thickBot="1">
      <c r="A66" s="63" t="s">
        <v>166</v>
      </c>
      <c r="B66" s="42" t="s">
        <v>818</v>
      </c>
      <c r="C66" s="43">
        <v>291</v>
      </c>
      <c r="D66" s="15"/>
      <c r="E66" s="15"/>
    </row>
    <row r="67" spans="1:5" ht="13.5" thickBot="1">
      <c r="A67" s="62" t="s">
        <v>166</v>
      </c>
      <c r="B67" s="6" t="s">
        <v>1076</v>
      </c>
      <c r="C67" s="41"/>
      <c r="D67" s="15"/>
      <c r="E67" s="15"/>
    </row>
    <row r="68" spans="1:5" ht="12.75">
      <c r="A68" s="60" t="s">
        <v>328</v>
      </c>
      <c r="B68" s="39" t="s">
        <v>343</v>
      </c>
      <c r="C68" s="47">
        <v>14806.77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1426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244.17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221568.76116599844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C36</f>
        <v>141695.43600000002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9248.637456003467</v>
      </c>
      <c r="D74" s="375" t="s">
        <v>853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10045.390683388832</v>
      </c>
      <c r="D75" s="377" t="s">
        <v>854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20392.544725791035</v>
      </c>
      <c r="D76" s="379" t="s">
        <v>855</v>
      </c>
      <c r="E76" s="380"/>
    </row>
    <row r="77" spans="1:5" ht="25.5">
      <c r="A77" s="73" t="s">
        <v>166</v>
      </c>
      <c r="B77" s="72" t="s">
        <v>231</v>
      </c>
      <c r="C77" s="318">
        <f>845684.35/242356.05*D61</f>
        <v>14900.561844319545</v>
      </c>
      <c r="D77" s="381" t="s">
        <v>856</v>
      </c>
      <c r="E77" s="382"/>
    </row>
    <row r="78" spans="1:5" ht="12.75">
      <c r="A78" s="73" t="s">
        <v>166</v>
      </c>
      <c r="B78" s="74" t="s">
        <v>808</v>
      </c>
      <c r="C78" s="318">
        <f>642562.44/242356.05*D61</f>
        <v>11321.649000666579</v>
      </c>
      <c r="D78" s="371" t="s">
        <v>857</v>
      </c>
      <c r="E78" s="372"/>
    </row>
    <row r="79" spans="1:5" ht="12.75">
      <c r="A79" s="73" t="s">
        <v>166</v>
      </c>
      <c r="B79" s="74" t="s">
        <v>826</v>
      </c>
      <c r="C79" s="318">
        <f>51615/196822.43*D61</f>
        <v>1119.8234520323726</v>
      </c>
      <c r="D79" s="371" t="s">
        <v>858</v>
      </c>
      <c r="E79" s="372"/>
    </row>
    <row r="80" spans="1:5" ht="12.75">
      <c r="A80" s="73" t="s">
        <v>166</v>
      </c>
      <c r="B80" s="74" t="s">
        <v>655</v>
      </c>
      <c r="C80" s="318">
        <f>129011.28/196822.43*D61</f>
        <v>2798.9897688794917</v>
      </c>
      <c r="D80" s="371" t="s">
        <v>859</v>
      </c>
      <c r="E80" s="372"/>
    </row>
    <row r="81" spans="1:5" ht="12.75">
      <c r="A81" s="73" t="s">
        <v>166</v>
      </c>
      <c r="B81" s="74" t="s">
        <v>656</v>
      </c>
      <c r="C81" s="318">
        <f>164128/196822.43*D61</f>
        <v>3560.87152058838</v>
      </c>
      <c r="D81" s="373" t="s">
        <v>860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298900.58/196822.43*D61</f>
        <v>6484.856714328748</v>
      </c>
      <c r="D82" s="369" t="s">
        <v>861</v>
      </c>
      <c r="E82" s="370"/>
    </row>
    <row r="83" ht="13.5" thickBot="1"/>
    <row r="84" spans="2:5" ht="26.25" thickBot="1">
      <c r="B84" s="143"/>
      <c r="C84" s="205" t="s">
        <v>104</v>
      </c>
      <c r="D84" s="236" t="s">
        <v>306</v>
      </c>
      <c r="E84" s="130" t="s">
        <v>305</v>
      </c>
    </row>
    <row r="85" spans="2:5" ht="13.5" thickBot="1">
      <c r="B85" s="393" t="s">
        <v>807</v>
      </c>
      <c r="C85" s="394"/>
      <c r="D85" s="394"/>
      <c r="E85" s="395"/>
    </row>
    <row r="86" spans="2:5" ht="12.75">
      <c r="B86" s="140" t="s">
        <v>285</v>
      </c>
      <c r="C86" s="234">
        <v>249347.78</v>
      </c>
      <c r="D86" s="218">
        <v>271907.23</v>
      </c>
      <c r="E86" s="44">
        <f>D86-C86</f>
        <v>22559.449999999983</v>
      </c>
    </row>
    <row r="87" spans="2:5" ht="12.75">
      <c r="B87" s="115" t="s">
        <v>637</v>
      </c>
      <c r="C87" s="10">
        <v>148962.25</v>
      </c>
      <c r="D87" s="99">
        <v>162256.2</v>
      </c>
      <c r="E87" s="45">
        <f>D87-C87</f>
        <v>13293.950000000012</v>
      </c>
    </row>
    <row r="88" spans="2:5" ht="13.5" thickBot="1">
      <c r="B88" s="124" t="s">
        <v>633</v>
      </c>
      <c r="C88" s="270">
        <v>33099.35</v>
      </c>
      <c r="D88" s="271">
        <v>34159.2</v>
      </c>
      <c r="E88" s="46">
        <f>D88-C88</f>
        <v>1059.8499999999985</v>
      </c>
    </row>
    <row r="89" spans="2:5" ht="13.5" thickBot="1">
      <c r="B89" s="124"/>
      <c r="C89" s="119">
        <f>SUM(C86:C88)</f>
        <v>431409.38</v>
      </c>
      <c r="D89" s="119">
        <f>SUM(D86:D88)</f>
        <v>468322.63</v>
      </c>
      <c r="E89" s="119">
        <f>SUM(E86:E88)</f>
        <v>36913.24999999999</v>
      </c>
    </row>
    <row r="90" spans="2:5" ht="13.5" thickBot="1">
      <c r="B90" s="363" t="s">
        <v>421</v>
      </c>
      <c r="C90" s="364"/>
      <c r="D90" s="364"/>
      <c r="E90" s="365"/>
    </row>
    <row r="91" spans="2:5" ht="12.75">
      <c r="B91" s="140" t="s">
        <v>285</v>
      </c>
      <c r="C91" s="212">
        <v>341610.04</v>
      </c>
      <c r="D91" s="223">
        <v>359164.24</v>
      </c>
      <c r="E91" s="44">
        <f>D91-C91</f>
        <v>17554.20000000001</v>
      </c>
    </row>
    <row r="92" spans="2:5" ht="12.75">
      <c r="B92" s="115" t="s">
        <v>637</v>
      </c>
      <c r="C92" s="18">
        <v>178074.09</v>
      </c>
      <c r="D92" s="18">
        <v>185816.35</v>
      </c>
      <c r="E92" s="45">
        <f>D92-C92</f>
        <v>7742.260000000009</v>
      </c>
    </row>
    <row r="93" spans="2:5" ht="13.5" thickBot="1">
      <c r="B93" s="157" t="s">
        <v>633</v>
      </c>
      <c r="C93" s="215">
        <v>49670.31</v>
      </c>
      <c r="D93" s="215">
        <v>55261.84</v>
      </c>
      <c r="E93" s="46">
        <f>D93-C93</f>
        <v>5591.529999999999</v>
      </c>
    </row>
    <row r="94" spans="2:5" ht="13.5" thickBot="1">
      <c r="B94" s="124"/>
      <c r="C94" s="252">
        <f>SUM(C91:C93)</f>
        <v>569354.44</v>
      </c>
      <c r="D94" s="252">
        <f>SUM(D91:D93)</f>
        <v>600242.4299999999</v>
      </c>
      <c r="E94" s="119">
        <f>SUM(E91:E93)</f>
        <v>30887.99000000002</v>
      </c>
    </row>
    <row r="95" spans="2:5" ht="13.5" thickBot="1">
      <c r="B95" s="363" t="s">
        <v>1110</v>
      </c>
      <c r="C95" s="364"/>
      <c r="D95" s="364"/>
      <c r="E95" s="365"/>
    </row>
    <row r="96" spans="2:5" ht="12.75">
      <c r="B96" s="140" t="s">
        <v>285</v>
      </c>
      <c r="C96" s="234">
        <v>403545</v>
      </c>
      <c r="D96" s="218">
        <v>421642.65</v>
      </c>
      <c r="E96" s="253">
        <f>D96-C96</f>
        <v>18097.650000000023</v>
      </c>
    </row>
    <row r="97" spans="2:5" ht="12.75">
      <c r="B97" s="115" t="s">
        <v>637</v>
      </c>
      <c r="C97" s="10">
        <v>198302.86</v>
      </c>
      <c r="D97" s="99">
        <v>206978.9</v>
      </c>
      <c r="E97" s="53">
        <f>D97-C97</f>
        <v>8676.040000000008</v>
      </c>
    </row>
    <row r="98" spans="2:5" ht="13.5" thickBot="1">
      <c r="B98" s="156" t="s">
        <v>633</v>
      </c>
      <c r="C98" s="142">
        <v>73401.68</v>
      </c>
      <c r="D98" s="142">
        <v>76848.6</v>
      </c>
      <c r="E98" s="85">
        <f>D98-C98</f>
        <v>3446.920000000013</v>
      </c>
    </row>
    <row r="99" spans="2:5" ht="13.5" thickBot="1">
      <c r="B99" s="187"/>
      <c r="C99" s="254">
        <f>SUM(C96:C98)</f>
        <v>675249.54</v>
      </c>
      <c r="D99" s="255">
        <f>SUM(D96:D98)</f>
        <v>705470.15</v>
      </c>
      <c r="E99" s="256">
        <f>SUM(E96:E98)</f>
        <v>30220.610000000044</v>
      </c>
    </row>
    <row r="100" spans="2:5" ht="13.5" thickBot="1">
      <c r="B100" s="363" t="s">
        <v>206</v>
      </c>
      <c r="C100" s="364"/>
      <c r="D100" s="364"/>
      <c r="E100" s="365"/>
    </row>
    <row r="101" spans="2:5" ht="12.75">
      <c r="B101" s="140" t="s">
        <v>285</v>
      </c>
      <c r="C101" s="234">
        <v>451189</v>
      </c>
      <c r="D101" s="218">
        <v>441821.56</v>
      </c>
      <c r="E101" s="339">
        <f>D101-C101</f>
        <v>-9367.440000000002</v>
      </c>
    </row>
    <row r="102" spans="2:5" ht="12.75">
      <c r="B102" s="115" t="s">
        <v>637</v>
      </c>
      <c r="C102" s="10">
        <v>221238.99</v>
      </c>
      <c r="D102" s="99">
        <v>216976.25</v>
      </c>
      <c r="E102" s="81">
        <f>D102-C102</f>
        <v>-4262.739999999991</v>
      </c>
    </row>
    <row r="103" spans="2:5" ht="12.75">
      <c r="B103" s="220" t="s">
        <v>633</v>
      </c>
      <c r="C103" s="125">
        <v>82714.77</v>
      </c>
      <c r="D103" s="125">
        <v>80278.26</v>
      </c>
      <c r="E103" s="81">
        <f>D103-C103</f>
        <v>-2436.5100000000093</v>
      </c>
    </row>
    <row r="104" spans="2:5" ht="13.5" thickBot="1">
      <c r="B104" s="157" t="s">
        <v>1200</v>
      </c>
      <c r="C104" s="142">
        <v>19194.48</v>
      </c>
      <c r="D104" s="142">
        <v>19194.48</v>
      </c>
      <c r="E104" s="85">
        <v>0</v>
      </c>
    </row>
    <row r="105" spans="2:5" ht="13.5" thickBot="1">
      <c r="B105" s="187"/>
      <c r="C105" s="254">
        <f>SUM(C101:C104)</f>
        <v>774337.24</v>
      </c>
      <c r="D105" s="255">
        <f>SUM(D101:D104)</f>
        <v>758270.55</v>
      </c>
      <c r="E105" s="256">
        <f>SUM(E101:E104)</f>
        <v>-16066.690000000002</v>
      </c>
    </row>
    <row r="106" spans="2:5" ht="13.5" thickBot="1">
      <c r="B106" s="363" t="s">
        <v>437</v>
      </c>
      <c r="C106" s="364"/>
      <c r="D106" s="364"/>
      <c r="E106" s="365"/>
    </row>
    <row r="107" spans="2:5" ht="12.75">
      <c r="B107" s="140" t="s">
        <v>285</v>
      </c>
      <c r="C107" s="234">
        <v>310444.41</v>
      </c>
      <c r="D107" s="218">
        <v>318975.35</v>
      </c>
      <c r="E107" s="253">
        <f aca="true" t="shared" si="1" ref="E107:E112">D107-C107</f>
        <v>8530.940000000002</v>
      </c>
    </row>
    <row r="108" spans="2:5" ht="12.75">
      <c r="B108" s="115" t="s">
        <v>637</v>
      </c>
      <c r="C108" s="10">
        <v>152607.89</v>
      </c>
      <c r="D108" s="99">
        <v>156774.32</v>
      </c>
      <c r="E108" s="53">
        <f t="shared" si="1"/>
        <v>4166.429999999993</v>
      </c>
    </row>
    <row r="109" spans="2:5" ht="12.75">
      <c r="B109" s="220" t="s">
        <v>633</v>
      </c>
      <c r="C109" s="125">
        <v>55888.45</v>
      </c>
      <c r="D109" s="125">
        <v>57536.1</v>
      </c>
      <c r="E109" s="81">
        <f t="shared" si="1"/>
        <v>1647.6500000000015</v>
      </c>
    </row>
    <row r="110" spans="2:5" ht="12.75">
      <c r="B110" s="220" t="s">
        <v>811</v>
      </c>
      <c r="C110" s="125">
        <v>11353.32</v>
      </c>
      <c r="D110" s="125">
        <v>27976.09</v>
      </c>
      <c r="E110" s="81">
        <f t="shared" si="1"/>
        <v>16622.77</v>
      </c>
    </row>
    <row r="111" spans="2:5" ht="12.75">
      <c r="B111" s="269" t="s">
        <v>415</v>
      </c>
      <c r="C111" s="107">
        <v>75.87</v>
      </c>
      <c r="D111" s="107">
        <v>54.93</v>
      </c>
      <c r="E111" s="81">
        <f t="shared" si="1"/>
        <v>-20.940000000000005</v>
      </c>
    </row>
    <row r="112" spans="2:5" ht="13.5" thickBot="1">
      <c r="B112" s="156" t="s">
        <v>792</v>
      </c>
      <c r="C112" s="142">
        <v>1800</v>
      </c>
      <c r="D112" s="142">
        <v>2300</v>
      </c>
      <c r="E112" s="85">
        <f t="shared" si="1"/>
        <v>500</v>
      </c>
    </row>
    <row r="113" spans="2:5" ht="13.5" thickBot="1">
      <c r="B113" s="187"/>
      <c r="C113" s="254">
        <f>SUM(C107:C112)</f>
        <v>532169.94</v>
      </c>
      <c r="D113" s="255">
        <f>SUM(D107:D112)</f>
        <v>563616.79</v>
      </c>
      <c r="E113" s="256">
        <f>SUM(E107:E112)</f>
        <v>31446.85</v>
      </c>
    </row>
    <row r="114" spans="2:5" ht="13.5" thickBot="1">
      <c r="B114" s="363" t="s">
        <v>87</v>
      </c>
      <c r="C114" s="364"/>
      <c r="D114" s="364"/>
      <c r="E114" s="365"/>
    </row>
    <row r="115" spans="2:5" ht="12.75">
      <c r="B115" s="140" t="s">
        <v>285</v>
      </c>
      <c r="C115" s="234">
        <f>470890.07+761.54</f>
        <v>471651.61</v>
      </c>
      <c r="D115" s="218">
        <f>485249.82+1105.11</f>
        <v>486354.93</v>
      </c>
      <c r="E115" s="253">
        <f aca="true" t="shared" si="2" ref="E115:E121">D115-C115</f>
        <v>14703.320000000007</v>
      </c>
    </row>
    <row r="116" spans="2:5" ht="12.75">
      <c r="B116" s="115" t="s">
        <v>637</v>
      </c>
      <c r="C116" s="10">
        <v>238879.91</v>
      </c>
      <c r="D116" s="98">
        <v>249311.88</v>
      </c>
      <c r="E116" s="53">
        <f t="shared" si="2"/>
        <v>10431.970000000001</v>
      </c>
    </row>
    <row r="117" spans="2:5" ht="12.75">
      <c r="B117" s="115" t="s">
        <v>364</v>
      </c>
      <c r="C117" s="10">
        <v>121517.87</v>
      </c>
      <c r="D117" s="98">
        <v>112230.35</v>
      </c>
      <c r="E117" s="81">
        <f t="shared" si="2"/>
        <v>-9287.51999999999</v>
      </c>
    </row>
    <row r="118" spans="2:5" ht="12.75">
      <c r="B118" s="115" t="s">
        <v>633</v>
      </c>
      <c r="C118" s="10">
        <v>91820.43</v>
      </c>
      <c r="D118" s="98">
        <v>96174.28</v>
      </c>
      <c r="E118" s="81">
        <f>D118-C118</f>
        <v>4353.850000000006</v>
      </c>
    </row>
    <row r="119" spans="2:5" ht="12.75">
      <c r="B119" s="115" t="s">
        <v>1061</v>
      </c>
      <c r="C119" s="10">
        <f>2400+3600</f>
        <v>6000</v>
      </c>
      <c r="D119" s="98">
        <f>2400+3300</f>
        <v>5700</v>
      </c>
      <c r="E119" s="81">
        <f>D119-C119</f>
        <v>-300</v>
      </c>
    </row>
    <row r="120" spans="2:5" ht="12.75">
      <c r="B120" s="269" t="s">
        <v>862</v>
      </c>
      <c r="C120" s="10">
        <v>182.68</v>
      </c>
      <c r="D120" s="98">
        <v>0</v>
      </c>
      <c r="E120" s="81">
        <f t="shared" si="2"/>
        <v>-182.68</v>
      </c>
    </row>
    <row r="121" spans="2:5" ht="12.75" customHeight="1" thickBot="1">
      <c r="B121" s="266" t="s">
        <v>1088</v>
      </c>
      <c r="C121" s="142">
        <v>14583.74</v>
      </c>
      <c r="D121" s="142">
        <v>14583.74</v>
      </c>
      <c r="E121" s="85">
        <f t="shared" si="2"/>
        <v>0</v>
      </c>
    </row>
    <row r="122" spans="2:5" ht="13.5" thickBot="1">
      <c r="B122" s="324"/>
      <c r="C122" s="119">
        <f>SUM(C115:C121)</f>
        <v>944636.2400000001</v>
      </c>
      <c r="D122" s="119">
        <f>SUM(D115:D121)</f>
        <v>964355.18</v>
      </c>
      <c r="E122" s="119">
        <f>SUM(E115:E121)</f>
        <v>19718.940000000024</v>
      </c>
    </row>
    <row r="123" spans="2:5" ht="13.5" thickBot="1">
      <c r="B123" s="366" t="s">
        <v>379</v>
      </c>
      <c r="C123" s="367"/>
      <c r="D123" s="367"/>
      <c r="E123" s="368"/>
    </row>
    <row r="124" spans="2:5" ht="13.5" thickBot="1">
      <c r="B124" s="153"/>
      <c r="C124" s="117">
        <f>C94+C99+C89+C105+C113+C122</f>
        <v>3927156.78</v>
      </c>
      <c r="D124" s="117">
        <f>D94+D99+D89+D105+D113+D122</f>
        <v>4060277.73</v>
      </c>
      <c r="E124" s="117">
        <f>E94+E99+E89+E105+E113+E122</f>
        <v>133120.9500000001</v>
      </c>
    </row>
  </sheetData>
  <sheetProtection/>
  <mergeCells count="24">
    <mergeCell ref="A6:E6"/>
    <mergeCell ref="A19:D19"/>
    <mergeCell ref="A20:D20"/>
    <mergeCell ref="D24:E24"/>
    <mergeCell ref="A2:B2"/>
    <mergeCell ref="C2:E2"/>
    <mergeCell ref="C3:E3"/>
    <mergeCell ref="B4:E4"/>
    <mergeCell ref="D78:E78"/>
    <mergeCell ref="D79:E79"/>
    <mergeCell ref="D80:E80"/>
    <mergeCell ref="D81:E81"/>
    <mergeCell ref="D74:E74"/>
    <mergeCell ref="D75:E75"/>
    <mergeCell ref="D76:E76"/>
    <mergeCell ref="D77:E77"/>
    <mergeCell ref="B100:E100"/>
    <mergeCell ref="B106:E106"/>
    <mergeCell ref="B123:E123"/>
    <mergeCell ref="B114:E114"/>
    <mergeCell ref="D82:E82"/>
    <mergeCell ref="B85:E85"/>
    <mergeCell ref="B90:E90"/>
    <mergeCell ref="B95:E95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7.625" style="0" customWidth="1"/>
    <col min="3" max="3" width="10.2539062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5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</v>
      </c>
      <c r="C7" s="26"/>
      <c r="D7" s="24"/>
    </row>
    <row r="8" spans="1:4" ht="15">
      <c r="A8" s="26"/>
      <c r="B8" s="27" t="s">
        <v>115</v>
      </c>
      <c r="C8" s="38">
        <v>1897.8</v>
      </c>
      <c r="D8" s="92" t="s">
        <v>116</v>
      </c>
    </row>
    <row r="9" spans="1:4" ht="15">
      <c r="A9" s="26"/>
      <c r="B9" s="27" t="s">
        <v>654</v>
      </c>
      <c r="C9" s="93">
        <v>101.4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206348.06</v>
      </c>
      <c r="D12" s="218">
        <f>235997.27-0.01</f>
        <v>235997.25999999998</v>
      </c>
      <c r="E12" s="242">
        <f aca="true" t="shared" si="0" ref="E12:E18">D12-C12</f>
        <v>29649.199999999983</v>
      </c>
    </row>
    <row r="13" spans="1:5" ht="12.75">
      <c r="A13" s="84">
        <v>2</v>
      </c>
      <c r="B13" s="5" t="s">
        <v>637</v>
      </c>
      <c r="C13" s="10">
        <v>101690.88</v>
      </c>
      <c r="D13" s="98">
        <f>115131.67+217.4</f>
        <v>115349.06999999999</v>
      </c>
      <c r="E13" s="57">
        <f t="shared" si="0"/>
        <v>13658.189999999988</v>
      </c>
    </row>
    <row r="14" spans="1:5" ht="12.75">
      <c r="A14" s="84">
        <v>3</v>
      </c>
      <c r="B14" s="5" t="s">
        <v>364</v>
      </c>
      <c r="C14" s="10">
        <v>30885.16</v>
      </c>
      <c r="D14" s="98">
        <v>24187.35</v>
      </c>
      <c r="E14" s="57">
        <f t="shared" si="0"/>
        <v>-6697.810000000001</v>
      </c>
    </row>
    <row r="15" spans="1:5" ht="12.75">
      <c r="A15" s="84">
        <v>4</v>
      </c>
      <c r="B15" s="5" t="s">
        <v>633</v>
      </c>
      <c r="C15" s="10">
        <v>23689.72</v>
      </c>
      <c r="D15" s="98">
        <v>27887.86</v>
      </c>
      <c r="E15" s="57">
        <f t="shared" si="0"/>
        <v>4198.139999999999</v>
      </c>
    </row>
    <row r="16" spans="1:5" ht="12.75">
      <c r="A16" s="84">
        <v>5</v>
      </c>
      <c r="B16" s="5" t="s">
        <v>29</v>
      </c>
      <c r="C16" s="10">
        <f>3500+3600+1800</f>
        <v>8900</v>
      </c>
      <c r="D16" s="98">
        <f>4200+3300+900</f>
        <v>8400</v>
      </c>
      <c r="E16" s="57">
        <f t="shared" si="0"/>
        <v>-500</v>
      </c>
    </row>
    <row r="17" spans="1:5" ht="12.75" customHeight="1">
      <c r="A17" s="87">
        <v>6</v>
      </c>
      <c r="B17" s="351" t="s">
        <v>985</v>
      </c>
      <c r="C17" s="258">
        <v>1287.64</v>
      </c>
      <c r="D17" s="258">
        <v>1287.64</v>
      </c>
      <c r="E17" s="66">
        <f t="shared" si="0"/>
        <v>0</v>
      </c>
    </row>
    <row r="18" spans="1:5" ht="13.5" thickBot="1">
      <c r="A18" s="261">
        <v>7</v>
      </c>
      <c r="B18" s="95" t="s">
        <v>805</v>
      </c>
      <c r="C18" s="225">
        <f>5844.49+5770.84+2101+1943.52</f>
        <v>15659.85</v>
      </c>
      <c r="D18" s="227">
        <f>5844.49+6829.18+2101+1886.88</f>
        <v>16661.55</v>
      </c>
      <c r="E18" s="222">
        <f t="shared" si="0"/>
        <v>1001.6999999999989</v>
      </c>
    </row>
    <row r="19" spans="1:5" ht="13.5" thickBot="1">
      <c r="A19" s="250"/>
      <c r="B19" s="251"/>
      <c r="C19" s="118">
        <f>SUM(C12:C18)</f>
        <v>388461.30999999994</v>
      </c>
      <c r="D19" s="118">
        <f>SUM(D12:D18)</f>
        <v>429770.7299999999</v>
      </c>
      <c r="E19" s="137">
        <f>SUM(E12:E18)</f>
        <v>41309.41999999997</v>
      </c>
    </row>
    <row r="20" spans="1:5" ht="12.75">
      <c r="A20" s="385" t="s">
        <v>793</v>
      </c>
      <c r="B20" s="386"/>
      <c r="C20" s="386"/>
      <c r="D20" s="386"/>
      <c r="E20" s="108">
        <f>E137</f>
        <v>135331.46999999997</v>
      </c>
    </row>
    <row r="21" spans="1:5" ht="12.75">
      <c r="A21" s="387" t="s">
        <v>794</v>
      </c>
      <c r="B21" s="384"/>
      <c r="C21" s="384"/>
      <c r="D21" s="384"/>
      <c r="E21" s="22">
        <v>253597.61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1095</v>
      </c>
      <c r="C24" s="80">
        <f>C62</f>
        <v>185430.36</v>
      </c>
      <c r="E24" s="29"/>
    </row>
    <row r="25" spans="1:5" ht="12.75">
      <c r="A25" s="91">
        <v>2</v>
      </c>
      <c r="B25" s="25" t="s">
        <v>344</v>
      </c>
      <c r="C25" s="102">
        <f>C70</f>
        <v>8258.79</v>
      </c>
      <c r="D25" s="388"/>
      <c r="E25" s="389"/>
    </row>
    <row r="26" spans="1:5" ht="12.75">
      <c r="A26" s="84">
        <v>3</v>
      </c>
      <c r="B26" s="9" t="s">
        <v>649</v>
      </c>
      <c r="C26" s="48">
        <v>1672.44</v>
      </c>
      <c r="E26" s="29"/>
    </row>
    <row r="27" spans="1:5" ht="12.75">
      <c r="A27" s="84">
        <v>4</v>
      </c>
      <c r="B27" s="9" t="s">
        <v>122</v>
      </c>
      <c r="C27" s="48">
        <f>(C8*0.55*12)</f>
        <v>12525.48</v>
      </c>
      <c r="E27" s="29"/>
    </row>
    <row r="28" spans="1:5" ht="12.75">
      <c r="A28" s="84">
        <v>5</v>
      </c>
      <c r="B28" s="9" t="s">
        <v>658</v>
      </c>
      <c r="C28" s="79">
        <v>35057.88</v>
      </c>
      <c r="E28" s="29"/>
    </row>
    <row r="29" spans="1:5" ht="12.75">
      <c r="A29" s="91">
        <v>6</v>
      </c>
      <c r="B29" s="25" t="s">
        <v>1093</v>
      </c>
      <c r="C29" s="96">
        <v>3483.32</v>
      </c>
      <c r="E29" s="29"/>
    </row>
    <row r="30" spans="1:5" ht="12.75">
      <c r="A30" s="91">
        <v>7</v>
      </c>
      <c r="B30" s="25" t="s">
        <v>61</v>
      </c>
      <c r="C30" s="96">
        <v>2400</v>
      </c>
      <c r="E30" s="29"/>
    </row>
    <row r="31" spans="1:5" ht="12.75">
      <c r="A31" s="91">
        <v>8</v>
      </c>
      <c r="B31" s="346" t="s">
        <v>26</v>
      </c>
      <c r="C31" s="96">
        <v>600</v>
      </c>
      <c r="E31" s="29"/>
    </row>
    <row r="32" spans="1:5" ht="25.5">
      <c r="A32" s="91">
        <v>9</v>
      </c>
      <c r="B32" s="25" t="s">
        <v>60</v>
      </c>
      <c r="C32" s="96">
        <v>-2300</v>
      </c>
      <c r="E32" s="29"/>
    </row>
    <row r="33" spans="1:5" ht="38.25">
      <c r="A33" s="91">
        <v>10</v>
      </c>
      <c r="B33" s="25" t="s">
        <v>986</v>
      </c>
      <c r="C33" s="349">
        <v>6589.52</v>
      </c>
      <c r="E33" s="29"/>
    </row>
    <row r="34" spans="1:3" ht="12.75">
      <c r="A34" s="50"/>
      <c r="B34" s="20" t="s">
        <v>629</v>
      </c>
      <c r="C34" s="51">
        <f>SUM(C24:C33)</f>
        <v>253717.79</v>
      </c>
    </row>
    <row r="35" spans="1:3" ht="12.75">
      <c r="A35" s="49"/>
      <c r="B35" s="8" t="s">
        <v>965</v>
      </c>
      <c r="C35" s="45"/>
    </row>
    <row r="36" spans="1:3" ht="12.75">
      <c r="A36" s="84">
        <v>1</v>
      </c>
      <c r="B36" s="9" t="s">
        <v>228</v>
      </c>
      <c r="C36" s="48">
        <f>(C19)*15%</f>
        <v>58269.19649999999</v>
      </c>
    </row>
    <row r="37" spans="1:3" ht="12.75">
      <c r="A37" s="84">
        <v>2</v>
      </c>
      <c r="B37" s="9" t="s">
        <v>813</v>
      </c>
      <c r="C37" s="48">
        <f>C76</f>
        <v>4110.361145614581</v>
      </c>
    </row>
    <row r="38" spans="1:3" ht="12.75">
      <c r="A38" s="84">
        <v>3</v>
      </c>
      <c r="B38" s="9" t="s">
        <v>653</v>
      </c>
      <c r="C38" s="48">
        <f>C77</f>
        <v>4464.46125215103</v>
      </c>
    </row>
    <row r="39" spans="1:3" ht="12.75">
      <c r="A39" s="84">
        <v>4</v>
      </c>
      <c r="B39" s="9" t="s">
        <v>1114</v>
      </c>
      <c r="C39" s="52">
        <f>C78</f>
        <v>9063.034841601384</v>
      </c>
    </row>
    <row r="40" spans="1:3" ht="12.75">
      <c r="A40" s="84">
        <v>5</v>
      </c>
      <c r="B40" s="9" t="s">
        <v>162</v>
      </c>
      <c r="C40" s="52">
        <f>C79</f>
        <v>6976.067453319198</v>
      </c>
    </row>
    <row r="41" spans="1:3" ht="12.75">
      <c r="A41" s="84">
        <v>6</v>
      </c>
      <c r="B41" s="9" t="s">
        <v>1051</v>
      </c>
      <c r="C41" s="48">
        <f>C80+C82+C83+C84+C81</f>
        <v>11838.356976400626</v>
      </c>
    </row>
    <row r="42" spans="1:3" ht="12.75">
      <c r="A42" s="49"/>
      <c r="B42" s="74" t="s">
        <v>809</v>
      </c>
      <c r="C42" s="53"/>
    </row>
    <row r="43" spans="1:3" ht="12.75">
      <c r="A43" s="49"/>
      <c r="B43" s="5" t="s">
        <v>655</v>
      </c>
      <c r="C43" s="53"/>
    </row>
    <row r="44" spans="1:3" ht="12.75">
      <c r="A44" s="49"/>
      <c r="B44" s="74" t="s">
        <v>656</v>
      </c>
      <c r="C44" s="53"/>
    </row>
    <row r="45" spans="1:3" ht="12.75">
      <c r="A45" s="49"/>
      <c r="B45" s="74" t="s">
        <v>808</v>
      </c>
      <c r="C45" s="53"/>
    </row>
    <row r="46" spans="1:3" ht="12.75">
      <c r="A46" s="50"/>
      <c r="B46" s="20" t="s">
        <v>629</v>
      </c>
      <c r="C46" s="51">
        <f>C36+C37+C38+C39+C40+C41</f>
        <v>94721.47816908681</v>
      </c>
    </row>
    <row r="47" spans="1:3" ht="12.75">
      <c r="A47" s="49"/>
      <c r="B47" s="7" t="s">
        <v>966</v>
      </c>
      <c r="C47" s="45"/>
    </row>
    <row r="48" spans="1:3" ht="12.75">
      <c r="A48" s="84">
        <v>1</v>
      </c>
      <c r="B48" s="9" t="s">
        <v>631</v>
      </c>
      <c r="C48" s="48">
        <f>C19*2%</f>
        <v>7769.226199999999</v>
      </c>
    </row>
    <row r="49" spans="1:3" ht="12.75">
      <c r="A49" s="84">
        <v>2</v>
      </c>
      <c r="B49" s="9" t="s">
        <v>391</v>
      </c>
      <c r="C49" s="48">
        <f>C50</f>
        <v>22841.525027999996</v>
      </c>
    </row>
    <row r="50" spans="1:4" ht="12.75">
      <c r="A50" s="49"/>
      <c r="B50" s="5" t="s">
        <v>334</v>
      </c>
      <c r="C50" s="41">
        <f>(C19-C48)*6%</f>
        <v>22841.525027999996</v>
      </c>
      <c r="D50" s="19"/>
    </row>
    <row r="51" spans="1:3" ht="13.5" thickBot="1">
      <c r="A51" s="54"/>
      <c r="B51" s="55" t="s">
        <v>967</v>
      </c>
      <c r="C51" s="56">
        <f>C48+C49</f>
        <v>30610.751227999994</v>
      </c>
    </row>
    <row r="52" spans="1:3" ht="12.75">
      <c r="A52" s="23"/>
      <c r="B52" s="4" t="s">
        <v>288</v>
      </c>
      <c r="C52" s="11">
        <f>C34+C46+C51</f>
        <v>379050.0193970868</v>
      </c>
    </row>
    <row r="53" spans="1:3" ht="12.75">
      <c r="A53" s="23"/>
      <c r="B53" s="77"/>
      <c r="C53" s="1"/>
    </row>
    <row r="54" spans="1:3" ht="15">
      <c r="A54" s="23"/>
      <c r="B54" s="14" t="s">
        <v>812</v>
      </c>
      <c r="C54" s="1">
        <v>471791.59</v>
      </c>
    </row>
    <row r="55" spans="1:3" ht="15">
      <c r="A55" s="23"/>
      <c r="B55" s="14" t="s">
        <v>12</v>
      </c>
      <c r="C55" s="1">
        <v>11465.24</v>
      </c>
    </row>
    <row r="56" spans="1:3" ht="15">
      <c r="A56" s="23"/>
      <c r="B56" s="14" t="s">
        <v>180</v>
      </c>
      <c r="C56" s="11">
        <f>C52+C54-C19-C55</f>
        <v>450915.05939708685</v>
      </c>
    </row>
    <row r="57" ht="12.75">
      <c r="B57" s="1" t="s">
        <v>85</v>
      </c>
    </row>
    <row r="58" ht="17.2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2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C8+C9</f>
        <v>1999.2</v>
      </c>
      <c r="E61" t="s">
        <v>116</v>
      </c>
    </row>
    <row r="62" spans="1:5" ht="12.75">
      <c r="A62" s="60" t="s">
        <v>218</v>
      </c>
      <c r="B62" s="39" t="s">
        <v>797</v>
      </c>
      <c r="C62" s="47">
        <v>185430.36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32692.8</v>
      </c>
      <c r="D64" s="15"/>
      <c r="E64" s="15"/>
    </row>
    <row r="65" spans="1:5" ht="12.75">
      <c r="A65" s="62" t="s">
        <v>166</v>
      </c>
      <c r="B65" s="6" t="s">
        <v>341</v>
      </c>
      <c r="C65" s="41">
        <v>25864.46</v>
      </c>
      <c r="D65" s="15"/>
      <c r="E65" s="15"/>
    </row>
    <row r="66" spans="1:5" ht="12.75">
      <c r="A66" s="62" t="s">
        <v>166</v>
      </c>
      <c r="B66" s="6" t="s">
        <v>974</v>
      </c>
      <c r="C66" s="45">
        <v>1000</v>
      </c>
      <c r="D66" s="15"/>
      <c r="E66" s="15"/>
    </row>
    <row r="67" spans="1:5" ht="12.75">
      <c r="A67" s="62" t="s">
        <v>166</v>
      </c>
      <c r="B67" s="6" t="s">
        <v>987</v>
      </c>
      <c r="C67" s="41">
        <v>1800</v>
      </c>
      <c r="D67" s="15"/>
      <c r="E67" s="15"/>
    </row>
    <row r="68" spans="1:5" ht="12.75">
      <c r="A68" s="62" t="s">
        <v>166</v>
      </c>
      <c r="B68" s="6" t="s">
        <v>276</v>
      </c>
      <c r="C68" s="41">
        <v>3750</v>
      </c>
      <c r="D68" s="15"/>
      <c r="E68" s="15"/>
    </row>
    <row r="69" spans="1:5" ht="13.5" thickBot="1">
      <c r="A69" s="63" t="s">
        <v>166</v>
      </c>
      <c r="B69" s="42" t="s">
        <v>818</v>
      </c>
      <c r="C69" s="46">
        <v>2810.4</v>
      </c>
      <c r="D69" s="15"/>
      <c r="E69" s="15"/>
    </row>
    <row r="70" spans="1:5" ht="12.75">
      <c r="A70" s="300" t="s">
        <v>328</v>
      </c>
      <c r="B70" s="97" t="s">
        <v>343</v>
      </c>
      <c r="C70" s="82">
        <v>8258.79</v>
      </c>
      <c r="D70" s="15"/>
      <c r="E70" s="12"/>
    </row>
    <row r="71" spans="1:5" ht="12.75">
      <c r="A71" s="61"/>
      <c r="B71" s="6" t="s">
        <v>118</v>
      </c>
      <c r="C71" s="41"/>
      <c r="D71" s="15"/>
      <c r="E71" s="12"/>
    </row>
    <row r="72" spans="1:5" ht="12.75">
      <c r="A72" s="62" t="s">
        <v>166</v>
      </c>
      <c r="B72" s="6" t="s">
        <v>380</v>
      </c>
      <c r="C72" s="41">
        <v>400</v>
      </c>
      <c r="D72" s="15"/>
      <c r="E72" s="12"/>
    </row>
    <row r="73" spans="1:5" ht="13.5" thickBot="1">
      <c r="A73" s="63" t="s">
        <v>166</v>
      </c>
      <c r="B73" s="42" t="s">
        <v>818</v>
      </c>
      <c r="C73" s="46">
        <v>108.52</v>
      </c>
      <c r="D73" s="15"/>
      <c r="E73" s="15"/>
    </row>
    <row r="74" spans="1:5" ht="12.75">
      <c r="A74" s="300" t="s">
        <v>787</v>
      </c>
      <c r="B74" s="97" t="s">
        <v>1050</v>
      </c>
      <c r="C74" s="82">
        <f>C75+C76+C78+C77+C79+C80+C82+C83+C84+C81</f>
        <v>94721.4781690868</v>
      </c>
      <c r="D74" s="15"/>
      <c r="E74" s="12"/>
    </row>
    <row r="75" spans="1:5" ht="13.5" thickBot="1">
      <c r="A75" s="40" t="s">
        <v>166</v>
      </c>
      <c r="B75" s="6" t="s">
        <v>227</v>
      </c>
      <c r="C75" s="41">
        <f>C36</f>
        <v>58269.19649999999</v>
      </c>
      <c r="D75" s="15"/>
      <c r="E75" s="12"/>
    </row>
    <row r="76" spans="1:5" ht="12.75">
      <c r="A76" s="40" t="s">
        <v>166</v>
      </c>
      <c r="B76" s="6" t="s">
        <v>370</v>
      </c>
      <c r="C76" s="317">
        <f>401410.25/185335.63*C8</f>
        <v>4110.361145614581</v>
      </c>
      <c r="D76" s="375" t="s">
        <v>982</v>
      </c>
      <c r="E76" s="376"/>
    </row>
    <row r="77" spans="1:5" ht="12.75">
      <c r="A77" s="73" t="s">
        <v>166</v>
      </c>
      <c r="B77" s="74" t="s">
        <v>397</v>
      </c>
      <c r="C77" s="317">
        <f>435991.01/185335.63*C8</f>
        <v>4464.46125215103</v>
      </c>
      <c r="D77" s="377" t="s">
        <v>983</v>
      </c>
      <c r="E77" s="378"/>
    </row>
    <row r="78" spans="1:5" ht="12.75">
      <c r="A78" s="71" t="s">
        <v>166</v>
      </c>
      <c r="B78" s="72" t="s">
        <v>416</v>
      </c>
      <c r="C78" s="317">
        <f>1082167/226605.83*C8</f>
        <v>9063.034841601384</v>
      </c>
      <c r="D78" s="379" t="s">
        <v>984</v>
      </c>
      <c r="E78" s="380"/>
    </row>
    <row r="79" spans="1:5" ht="25.5">
      <c r="A79" s="73" t="s">
        <v>166</v>
      </c>
      <c r="B79" s="72" t="s">
        <v>231</v>
      </c>
      <c r="C79" s="318">
        <f>845684.35/242356.05*D61</f>
        <v>6976.067453319198</v>
      </c>
      <c r="D79" s="381" t="s">
        <v>989</v>
      </c>
      <c r="E79" s="382"/>
    </row>
    <row r="80" spans="1:5" ht="12.75">
      <c r="A80" s="73" t="s">
        <v>166</v>
      </c>
      <c r="B80" s="74" t="s">
        <v>808</v>
      </c>
      <c r="C80" s="318">
        <f>642562.44/242356.05*D61</f>
        <v>5300.510674472537</v>
      </c>
      <c r="D80" s="371" t="s">
        <v>990</v>
      </c>
      <c r="E80" s="372"/>
    </row>
    <row r="81" spans="1:5" ht="12.75">
      <c r="A81" s="73" t="s">
        <v>166</v>
      </c>
      <c r="B81" s="74" t="s">
        <v>826</v>
      </c>
      <c r="C81" s="318">
        <f>51615/196822.43*D61</f>
        <v>524.2731125715703</v>
      </c>
      <c r="D81" s="371" t="s">
        <v>991</v>
      </c>
      <c r="E81" s="372"/>
    </row>
    <row r="82" spans="1:5" ht="12.75">
      <c r="A82" s="73" t="s">
        <v>166</v>
      </c>
      <c r="B82" s="74" t="s">
        <v>655</v>
      </c>
      <c r="C82" s="318">
        <f>129011.28/196822.43*D61</f>
        <v>1310.4164549538384</v>
      </c>
      <c r="D82" s="371" t="s">
        <v>992</v>
      </c>
      <c r="E82" s="372"/>
    </row>
    <row r="83" spans="1:5" ht="12.75">
      <c r="A83" s="73" t="s">
        <v>166</v>
      </c>
      <c r="B83" s="74" t="s">
        <v>656</v>
      </c>
      <c r="C83" s="318">
        <f>164128/196822.43*D61</f>
        <v>1667.1102861599666</v>
      </c>
      <c r="D83" s="373" t="s">
        <v>993</v>
      </c>
      <c r="E83" s="374"/>
    </row>
    <row r="84" spans="1:5" ht="13.5" thickBot="1">
      <c r="A84" s="75" t="s">
        <v>166</v>
      </c>
      <c r="B84" s="76" t="s">
        <v>809</v>
      </c>
      <c r="C84" s="319">
        <f>298900.58/196822.43*D61</f>
        <v>3036.0464482427133</v>
      </c>
      <c r="D84" s="369" t="s">
        <v>994</v>
      </c>
      <c r="E84" s="370"/>
    </row>
    <row r="85" ht="13.5" thickBot="1"/>
    <row r="86" spans="2:5" ht="26.25" thickBot="1">
      <c r="B86" s="143"/>
      <c r="C86" s="205" t="s">
        <v>104</v>
      </c>
      <c r="D86" s="236" t="s">
        <v>306</v>
      </c>
      <c r="E86" s="130" t="s">
        <v>305</v>
      </c>
    </row>
    <row r="87" spans="2:5" ht="13.5" thickBot="1">
      <c r="B87" s="393" t="s">
        <v>807</v>
      </c>
      <c r="C87" s="394"/>
      <c r="D87" s="394"/>
      <c r="E87" s="395"/>
    </row>
    <row r="88" spans="2:5" ht="12.75">
      <c r="B88" s="140" t="s">
        <v>285</v>
      </c>
      <c r="C88" s="234">
        <v>115287.21</v>
      </c>
      <c r="D88" s="218">
        <v>129018.35</v>
      </c>
      <c r="E88" s="44">
        <f>D88-C88</f>
        <v>13731.14</v>
      </c>
    </row>
    <row r="89" spans="2:5" ht="12.75">
      <c r="B89" s="115" t="s">
        <v>637</v>
      </c>
      <c r="C89" s="10">
        <v>68546.73</v>
      </c>
      <c r="D89" s="99">
        <v>76515.15</v>
      </c>
      <c r="E89" s="45">
        <f>D89-C89</f>
        <v>7968.419999999998</v>
      </c>
    </row>
    <row r="90" spans="2:5" ht="12.75">
      <c r="B90" s="115" t="s">
        <v>633</v>
      </c>
      <c r="C90" s="10">
        <v>5560.51</v>
      </c>
      <c r="D90" s="99">
        <v>7294.35</v>
      </c>
      <c r="E90" s="45">
        <f>D90-C90</f>
        <v>1733.8400000000001</v>
      </c>
    </row>
    <row r="91" spans="2:5" ht="12.75">
      <c r="B91" s="115" t="s">
        <v>232</v>
      </c>
      <c r="C91" s="10">
        <v>4452.6</v>
      </c>
      <c r="D91" s="99">
        <v>3525.01</v>
      </c>
      <c r="E91" s="45">
        <f>D91-C91</f>
        <v>-927.5900000000001</v>
      </c>
    </row>
    <row r="92" spans="2:5" ht="13.5" thickBot="1">
      <c r="B92" s="157" t="s">
        <v>113</v>
      </c>
      <c r="C92" s="225">
        <v>4140.46</v>
      </c>
      <c r="D92" s="235">
        <v>6480</v>
      </c>
      <c r="E92" s="46">
        <f>D92-C92</f>
        <v>2339.54</v>
      </c>
    </row>
    <row r="93" spans="2:5" ht="13.5" thickBot="1">
      <c r="B93" s="124"/>
      <c r="C93" s="119">
        <f>SUM(C88:C92)</f>
        <v>197987.51</v>
      </c>
      <c r="D93" s="119">
        <f>SUM(D88:D92)</f>
        <v>222832.86000000002</v>
      </c>
      <c r="E93" s="119">
        <f>SUM(E88:E92)</f>
        <v>24845.35</v>
      </c>
    </row>
    <row r="94" spans="2:5" ht="13.5" thickBot="1">
      <c r="B94" s="363" t="s">
        <v>421</v>
      </c>
      <c r="C94" s="364"/>
      <c r="D94" s="364"/>
      <c r="E94" s="365"/>
    </row>
    <row r="95" spans="2:5" ht="12.75">
      <c r="B95" s="140" t="s">
        <v>285</v>
      </c>
      <c r="C95" s="212">
        <v>160546.22</v>
      </c>
      <c r="D95" s="223">
        <v>172098.56</v>
      </c>
      <c r="E95" s="44">
        <f aca="true" t="shared" si="1" ref="E95:E100">D95-C95</f>
        <v>11552.339999999997</v>
      </c>
    </row>
    <row r="96" spans="2:5" ht="12.75">
      <c r="B96" s="115" t="s">
        <v>637</v>
      </c>
      <c r="C96" s="18">
        <v>83182.69</v>
      </c>
      <c r="D96" s="18">
        <v>87901.12</v>
      </c>
      <c r="E96" s="45">
        <f t="shared" si="1"/>
        <v>4718.429999999993</v>
      </c>
    </row>
    <row r="97" spans="2:5" ht="12.75">
      <c r="B97" s="115" t="s">
        <v>805</v>
      </c>
      <c r="C97" s="18">
        <v>5212.08</v>
      </c>
      <c r="D97" s="18">
        <v>7846.1</v>
      </c>
      <c r="E97" s="45">
        <f t="shared" si="1"/>
        <v>2634.0200000000004</v>
      </c>
    </row>
    <row r="98" spans="2:5" ht="12.75">
      <c r="B98" s="115" t="s">
        <v>408</v>
      </c>
      <c r="C98" s="18">
        <v>23138.76</v>
      </c>
      <c r="D98" s="18">
        <v>25347.57</v>
      </c>
      <c r="E98" s="45">
        <f t="shared" si="1"/>
        <v>2208.8100000000013</v>
      </c>
    </row>
    <row r="99" spans="2:5" ht="12.75">
      <c r="B99" s="115" t="s">
        <v>415</v>
      </c>
      <c r="C99" s="18">
        <v>1105.33</v>
      </c>
      <c r="D99" s="18">
        <v>0</v>
      </c>
      <c r="E99" s="45">
        <f t="shared" si="1"/>
        <v>-1105.33</v>
      </c>
    </row>
    <row r="100" spans="2:5" ht="26.25" thickBot="1">
      <c r="B100" s="266" t="s">
        <v>1046</v>
      </c>
      <c r="C100" s="224">
        <v>3200</v>
      </c>
      <c r="D100" s="267">
        <v>3200</v>
      </c>
      <c r="E100" s="246">
        <f t="shared" si="1"/>
        <v>0</v>
      </c>
    </row>
    <row r="101" spans="2:5" ht="13.5" thickBot="1">
      <c r="B101" s="124"/>
      <c r="C101" s="252">
        <f>SUM(C95:C100)</f>
        <v>276385.08</v>
      </c>
      <c r="D101" s="252">
        <f>SUM(D95:D100)</f>
        <v>296393.35</v>
      </c>
      <c r="E101" s="119">
        <f>SUM(E95:E100)</f>
        <v>20008.26999999999</v>
      </c>
    </row>
    <row r="102" spans="2:5" ht="13.5" thickBot="1">
      <c r="B102" s="363" t="s">
        <v>1110</v>
      </c>
      <c r="C102" s="364"/>
      <c r="D102" s="364"/>
      <c r="E102" s="365"/>
    </row>
    <row r="103" spans="2:5" ht="12.75">
      <c r="B103" s="140" t="s">
        <v>285</v>
      </c>
      <c r="C103" s="234">
        <v>180681.8</v>
      </c>
      <c r="D103" s="218">
        <v>197159.4</v>
      </c>
      <c r="E103" s="253">
        <f>D103-C103</f>
        <v>16477.600000000006</v>
      </c>
    </row>
    <row r="104" spans="2:5" ht="12.75">
      <c r="B104" s="115" t="s">
        <v>637</v>
      </c>
      <c r="C104" s="10">
        <v>87963.07</v>
      </c>
      <c r="D104" s="99">
        <v>95860.26</v>
      </c>
      <c r="E104" s="275">
        <f>D104-C104</f>
        <v>7897.189999999988</v>
      </c>
    </row>
    <row r="105" spans="2:5" ht="12.75">
      <c r="B105" s="220" t="s">
        <v>633</v>
      </c>
      <c r="C105" s="125">
        <v>28124.56</v>
      </c>
      <c r="D105" s="125">
        <v>29263.61</v>
      </c>
      <c r="E105" s="275">
        <f>D105-C105</f>
        <v>1139.0499999999993</v>
      </c>
    </row>
    <row r="106" spans="2:5" ht="25.5">
      <c r="B106" s="269" t="s">
        <v>1046</v>
      </c>
      <c r="C106" s="272">
        <v>4900</v>
      </c>
      <c r="D106" s="273">
        <v>4900</v>
      </c>
      <c r="E106" s="53">
        <f>D106-C106</f>
        <v>0</v>
      </c>
    </row>
    <row r="107" spans="2:5" ht="13.5" thickBot="1">
      <c r="B107" s="157" t="s">
        <v>232</v>
      </c>
      <c r="C107" s="274">
        <v>6367</v>
      </c>
      <c r="D107" s="265">
        <v>5728</v>
      </c>
      <c r="E107" s="85">
        <f>D107-C107</f>
        <v>-639</v>
      </c>
    </row>
    <row r="108" spans="2:5" ht="13.5" thickBot="1">
      <c r="B108" s="187"/>
      <c r="C108" s="254">
        <f>SUM(C103:C107)</f>
        <v>308036.43</v>
      </c>
      <c r="D108" s="255">
        <f>SUM(D103:D107)</f>
        <v>332911.26999999996</v>
      </c>
      <c r="E108" s="256">
        <f>SUM(E103:E107)</f>
        <v>24874.839999999993</v>
      </c>
    </row>
    <row r="109" spans="2:5" ht="13.5" thickBot="1">
      <c r="B109" s="363" t="s">
        <v>1049</v>
      </c>
      <c r="C109" s="364"/>
      <c r="D109" s="364"/>
      <c r="E109" s="365"/>
    </row>
    <row r="110" spans="2:5" ht="12.75">
      <c r="B110" s="140" t="s">
        <v>285</v>
      </c>
      <c r="C110" s="234">
        <v>193938.61</v>
      </c>
      <c r="D110" s="218">
        <v>206627.47</v>
      </c>
      <c r="E110" s="44">
        <f aca="true" t="shared" si="2" ref="E110:E116">D110-C110</f>
        <v>12688.860000000015</v>
      </c>
    </row>
    <row r="111" spans="2:5" ht="12.75">
      <c r="B111" s="115" t="s">
        <v>637</v>
      </c>
      <c r="C111" s="10">
        <v>89925.92</v>
      </c>
      <c r="D111" s="99">
        <v>100468.15</v>
      </c>
      <c r="E111" s="45">
        <f t="shared" si="2"/>
        <v>10542.229999999996</v>
      </c>
    </row>
    <row r="112" spans="2:5" ht="12.75">
      <c r="B112" s="220" t="s">
        <v>633</v>
      </c>
      <c r="C112" s="125">
        <v>20897.85</v>
      </c>
      <c r="D112" s="125">
        <v>23848.89</v>
      </c>
      <c r="E112" s="45">
        <f t="shared" si="2"/>
        <v>2951.040000000001</v>
      </c>
    </row>
    <row r="113" spans="2:5" ht="25.5">
      <c r="B113" s="269" t="s">
        <v>1046</v>
      </c>
      <c r="C113" s="107">
        <v>4200</v>
      </c>
      <c r="D113" s="107">
        <v>4200</v>
      </c>
      <c r="E113" s="325">
        <f t="shared" si="2"/>
        <v>0</v>
      </c>
    </row>
    <row r="114" spans="2:5" ht="12.75">
      <c r="B114" s="115" t="s">
        <v>1200</v>
      </c>
      <c r="C114" s="125">
        <v>9382.42</v>
      </c>
      <c r="D114" s="125">
        <v>9382.42</v>
      </c>
      <c r="E114" s="45">
        <f t="shared" si="2"/>
        <v>0</v>
      </c>
    </row>
    <row r="115" spans="2:5" ht="12.75">
      <c r="B115" s="115" t="s">
        <v>630</v>
      </c>
      <c r="C115" s="125">
        <v>2400</v>
      </c>
      <c r="D115" s="125">
        <v>2700</v>
      </c>
      <c r="E115" s="45">
        <f t="shared" si="2"/>
        <v>300</v>
      </c>
    </row>
    <row r="116" spans="2:5" ht="13.5" thickBot="1">
      <c r="B116" s="157" t="s">
        <v>232</v>
      </c>
      <c r="C116" s="274">
        <v>14325.72</v>
      </c>
      <c r="D116" s="265">
        <v>10614.08</v>
      </c>
      <c r="E116" s="246">
        <f t="shared" si="2"/>
        <v>-3711.6399999999994</v>
      </c>
    </row>
    <row r="117" spans="2:5" ht="13.5" thickBot="1">
      <c r="B117" s="124"/>
      <c r="C117" s="252">
        <f>SUM(C110:C116)</f>
        <v>335070.5199999999</v>
      </c>
      <c r="D117" s="252">
        <f>SUM(D110:D116)</f>
        <v>357841.01</v>
      </c>
      <c r="E117" s="119">
        <f>SUM(E110:E116)</f>
        <v>22770.490000000013</v>
      </c>
    </row>
    <row r="118" spans="2:5" ht="13.5" thickBot="1">
      <c r="B118" s="363" t="s">
        <v>814</v>
      </c>
      <c r="C118" s="364"/>
      <c r="D118" s="364"/>
      <c r="E118" s="365"/>
    </row>
    <row r="119" spans="2:5" ht="12.75">
      <c r="B119" s="140" t="s">
        <v>285</v>
      </c>
      <c r="C119" s="234">
        <v>157245.89</v>
      </c>
      <c r="D119" s="218">
        <v>149242.96</v>
      </c>
      <c r="E119" s="253">
        <f aca="true" t="shared" si="3" ref="E119:E125">D119-C119</f>
        <v>-8002.930000000022</v>
      </c>
    </row>
    <row r="120" spans="2:5" ht="12.75">
      <c r="B120" s="115" t="s">
        <v>637</v>
      </c>
      <c r="C120" s="10">
        <v>79287.78</v>
      </c>
      <c r="D120" s="99">
        <v>72572</v>
      </c>
      <c r="E120" s="53">
        <f t="shared" si="3"/>
        <v>-6715.779999999999</v>
      </c>
    </row>
    <row r="121" spans="2:5" ht="12.75">
      <c r="B121" s="220" t="s">
        <v>633</v>
      </c>
      <c r="C121" s="125">
        <v>20382.93</v>
      </c>
      <c r="D121" s="125">
        <v>17262.48</v>
      </c>
      <c r="E121" s="81">
        <f t="shared" si="3"/>
        <v>-3120.4500000000007</v>
      </c>
    </row>
    <row r="122" spans="2:5" ht="12.75">
      <c r="B122" s="220" t="s">
        <v>811</v>
      </c>
      <c r="C122" s="125">
        <v>49928.12</v>
      </c>
      <c r="D122" s="125">
        <v>63878.01</v>
      </c>
      <c r="E122" s="81">
        <f t="shared" si="3"/>
        <v>13949.89</v>
      </c>
    </row>
    <row r="123" spans="2:5" ht="12.75">
      <c r="B123" s="269" t="s">
        <v>1061</v>
      </c>
      <c r="C123" s="107">
        <v>2700</v>
      </c>
      <c r="D123" s="107">
        <v>3000</v>
      </c>
      <c r="E123" s="81">
        <f t="shared" si="3"/>
        <v>300</v>
      </c>
    </row>
    <row r="124" spans="2:5" ht="12.75">
      <c r="B124" s="115" t="s">
        <v>367</v>
      </c>
      <c r="C124" s="107">
        <v>1800</v>
      </c>
      <c r="D124" s="35">
        <v>2400</v>
      </c>
      <c r="E124" s="53">
        <f t="shared" si="3"/>
        <v>600</v>
      </c>
    </row>
    <row r="125" spans="2:5" ht="13.5" thickBot="1">
      <c r="B125" s="157" t="s">
        <v>232</v>
      </c>
      <c r="C125" s="142">
        <v>6328.07</v>
      </c>
      <c r="D125" s="142">
        <v>10840.44</v>
      </c>
      <c r="E125" s="85">
        <f t="shared" si="3"/>
        <v>4512.370000000001</v>
      </c>
    </row>
    <row r="126" spans="2:5" ht="13.5" thickBot="1">
      <c r="B126" s="187"/>
      <c r="C126" s="254">
        <f>SUM(C119:C125)</f>
        <v>317672.79000000004</v>
      </c>
      <c r="D126" s="255">
        <f>SUM(D119:D125)</f>
        <v>319195.89</v>
      </c>
      <c r="E126" s="256">
        <f>SUM(E119:E125)</f>
        <v>1523.0999999999785</v>
      </c>
    </row>
    <row r="127" spans="2:5" ht="13.5" thickBot="1">
      <c r="B127" s="363" t="s">
        <v>87</v>
      </c>
      <c r="C127" s="364"/>
      <c r="D127" s="364"/>
      <c r="E127" s="365"/>
    </row>
    <row r="128" spans="2:5" ht="12.75">
      <c r="B128" s="140" t="s">
        <v>285</v>
      </c>
      <c r="C128" s="234">
        <v>206348.06</v>
      </c>
      <c r="D128" s="218">
        <f>235997.27-0.01</f>
        <v>235997.25999999998</v>
      </c>
      <c r="E128" s="253">
        <f aca="true" t="shared" si="4" ref="E128:E134">D128-C128</f>
        <v>29649.199999999983</v>
      </c>
    </row>
    <row r="129" spans="2:5" ht="12.75">
      <c r="B129" s="115" t="s">
        <v>637</v>
      </c>
      <c r="C129" s="10">
        <v>101690.88</v>
      </c>
      <c r="D129" s="98">
        <f>115131.67+217.4</f>
        <v>115349.06999999999</v>
      </c>
      <c r="E129" s="275">
        <f t="shared" si="4"/>
        <v>13658.189999999988</v>
      </c>
    </row>
    <row r="130" spans="2:5" ht="12.75">
      <c r="B130" s="115" t="s">
        <v>364</v>
      </c>
      <c r="C130" s="10">
        <v>30885.16</v>
      </c>
      <c r="D130" s="98">
        <v>24187.35</v>
      </c>
      <c r="E130" s="275">
        <f t="shared" si="4"/>
        <v>-6697.810000000001</v>
      </c>
    </row>
    <row r="131" spans="2:5" ht="12.75">
      <c r="B131" s="115" t="s">
        <v>633</v>
      </c>
      <c r="C131" s="10">
        <v>23689.72</v>
      </c>
      <c r="D131" s="98">
        <v>27887.86</v>
      </c>
      <c r="E131" s="275">
        <f t="shared" si="4"/>
        <v>4198.139999999999</v>
      </c>
    </row>
    <row r="132" spans="2:5" ht="12.75">
      <c r="B132" s="115" t="s">
        <v>29</v>
      </c>
      <c r="C132" s="10">
        <f>3500+3600+1800</f>
        <v>8900</v>
      </c>
      <c r="D132" s="98">
        <f>4200+3300+900</f>
        <v>8400</v>
      </c>
      <c r="E132" s="275">
        <f t="shared" si="4"/>
        <v>-500</v>
      </c>
    </row>
    <row r="133" spans="2:5" ht="12.75" customHeight="1">
      <c r="B133" s="352" t="s">
        <v>985</v>
      </c>
      <c r="C133" s="258">
        <v>1287.64</v>
      </c>
      <c r="D133" s="258">
        <v>1287.64</v>
      </c>
      <c r="E133" s="275">
        <f t="shared" si="4"/>
        <v>0</v>
      </c>
    </row>
    <row r="134" spans="2:5" ht="13.5" thickBot="1">
      <c r="B134" s="157" t="s">
        <v>805</v>
      </c>
      <c r="C134" s="225">
        <f>5844.49+5770.84+2101+1943.52</f>
        <v>15659.85</v>
      </c>
      <c r="D134" s="227">
        <f>5844.49+6829.18+2101+1886.88</f>
        <v>16661.55</v>
      </c>
      <c r="E134" s="85">
        <f t="shared" si="4"/>
        <v>1001.6999999999989</v>
      </c>
    </row>
    <row r="135" spans="2:5" ht="13.5" thickBot="1">
      <c r="B135" s="187"/>
      <c r="C135" s="254">
        <f>SUM(C128:C134)</f>
        <v>388461.30999999994</v>
      </c>
      <c r="D135" s="255">
        <f>SUM(D128:D134)</f>
        <v>429770.7299999999</v>
      </c>
      <c r="E135" s="256">
        <f>SUM(E128:E134)</f>
        <v>41309.41999999997</v>
      </c>
    </row>
    <row r="136" spans="2:5" ht="13.5" thickBot="1">
      <c r="B136" s="366" t="s">
        <v>379</v>
      </c>
      <c r="C136" s="367"/>
      <c r="D136" s="367"/>
      <c r="E136" s="368"/>
    </row>
    <row r="137" spans="2:5" ht="13.5" thickBot="1">
      <c r="B137" s="153"/>
      <c r="C137" s="117">
        <f>C101+C108+C93+C117+C126+C135</f>
        <v>1823613.6400000001</v>
      </c>
      <c r="D137" s="117">
        <f>D101+D108+D93+D117+D126+D135</f>
        <v>1958945.1099999999</v>
      </c>
      <c r="E137" s="117">
        <f>E101+E108+E93+E117+E126+E135</f>
        <v>135331.46999999997</v>
      </c>
    </row>
  </sheetData>
  <sheetProtection/>
  <mergeCells count="24">
    <mergeCell ref="A6:E6"/>
    <mergeCell ref="A20:D20"/>
    <mergeCell ref="A21:D21"/>
    <mergeCell ref="D25:E25"/>
    <mergeCell ref="A2:B2"/>
    <mergeCell ref="C2:E2"/>
    <mergeCell ref="C3:E3"/>
    <mergeCell ref="B4:E4"/>
    <mergeCell ref="D80:E80"/>
    <mergeCell ref="D81:E81"/>
    <mergeCell ref="D82:E82"/>
    <mergeCell ref="D83:E83"/>
    <mergeCell ref="D76:E76"/>
    <mergeCell ref="D77:E77"/>
    <mergeCell ref="D78:E78"/>
    <mergeCell ref="D79:E79"/>
    <mergeCell ref="D84:E84"/>
    <mergeCell ref="B118:E118"/>
    <mergeCell ref="B136:E136"/>
    <mergeCell ref="B127:E127"/>
    <mergeCell ref="B87:E87"/>
    <mergeCell ref="B94:E94"/>
    <mergeCell ref="B102:E102"/>
    <mergeCell ref="B109:E109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4.875" style="0" customWidth="1"/>
    <col min="3" max="3" width="10.75390625" style="0" customWidth="1"/>
    <col min="4" max="4" width="12.1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434</v>
      </c>
      <c r="C7" s="26"/>
      <c r="D7" s="24"/>
    </row>
    <row r="8" spans="1:4" ht="15">
      <c r="A8" s="26"/>
      <c r="B8" s="27" t="s">
        <v>115</v>
      </c>
      <c r="C8" s="38">
        <v>1992.7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206348.06</v>
      </c>
      <c r="D11" s="218">
        <v>235997.26</v>
      </c>
      <c r="E11" s="242">
        <f>D11-C11</f>
        <v>29649.20000000001</v>
      </c>
    </row>
    <row r="12" spans="1:5" ht="12.75">
      <c r="A12" s="84">
        <v>2</v>
      </c>
      <c r="B12" s="5" t="s">
        <v>637</v>
      </c>
      <c r="C12" s="10">
        <v>113792.37</v>
      </c>
      <c r="D12" s="98">
        <f>121075.83+217.4</f>
        <v>121293.23</v>
      </c>
      <c r="E12" s="57">
        <f>D12-C12</f>
        <v>7500.860000000001</v>
      </c>
    </row>
    <row r="13" spans="1:5" ht="12.75">
      <c r="A13" s="84">
        <v>3</v>
      </c>
      <c r="B13" s="5" t="s">
        <v>364</v>
      </c>
      <c r="C13" s="10">
        <v>25224.27</v>
      </c>
      <c r="D13" s="98">
        <v>27403.26</v>
      </c>
      <c r="E13" s="57">
        <f>D13-C13</f>
        <v>2178.989999999998</v>
      </c>
    </row>
    <row r="14" spans="1:5" ht="12.75">
      <c r="A14" s="84">
        <v>4</v>
      </c>
      <c r="B14" s="5" t="s">
        <v>633</v>
      </c>
      <c r="C14" s="10">
        <v>41376.98</v>
      </c>
      <c r="D14" s="98">
        <v>43977.91</v>
      </c>
      <c r="E14" s="57">
        <f>D14-C14</f>
        <v>2600.9300000000003</v>
      </c>
    </row>
    <row r="15" spans="1:5" ht="12.75">
      <c r="A15" s="84">
        <v>5</v>
      </c>
      <c r="B15" s="5" t="s">
        <v>29</v>
      </c>
      <c r="C15" s="10">
        <f>3500+2400+3600</f>
        <v>9500</v>
      </c>
      <c r="D15" s="98">
        <f>4200+2400+3300</f>
        <v>9900</v>
      </c>
      <c r="E15" s="57">
        <f>D15-C15</f>
        <v>400</v>
      </c>
    </row>
    <row r="16" spans="1:5" ht="13.5" thickBot="1">
      <c r="A16" s="250"/>
      <c r="B16" s="251"/>
      <c r="C16" s="118">
        <f>SUM(C11:C15)</f>
        <v>396241.68</v>
      </c>
      <c r="D16" s="118">
        <f>SUM(D11:D15)</f>
        <v>438571.66000000003</v>
      </c>
      <c r="E16" s="137">
        <f>SUM(E11:E15)</f>
        <v>42329.98000000001</v>
      </c>
    </row>
    <row r="17" spans="1:5" ht="12.75">
      <c r="A17" s="385" t="s">
        <v>793</v>
      </c>
      <c r="B17" s="386"/>
      <c r="C17" s="386"/>
      <c r="D17" s="386"/>
      <c r="E17" s="108">
        <f>E124</f>
        <v>145540.82</v>
      </c>
    </row>
    <row r="18" spans="1:5" ht="12.75">
      <c r="A18" s="387" t="s">
        <v>794</v>
      </c>
      <c r="B18" s="384"/>
      <c r="C18" s="384"/>
      <c r="D18" s="384"/>
      <c r="E18" s="22">
        <v>304557.8</v>
      </c>
    </row>
    <row r="19" spans="1:2" ht="12.75">
      <c r="A19" s="37"/>
      <c r="B19" s="3" t="s">
        <v>217</v>
      </c>
    </row>
    <row r="20" spans="1:2" ht="13.5" thickBot="1">
      <c r="A20" s="37"/>
      <c r="B20" s="30" t="s">
        <v>964</v>
      </c>
    </row>
    <row r="21" spans="1:5" ht="12.75">
      <c r="A21" s="86">
        <v>1</v>
      </c>
      <c r="B21" s="64" t="s">
        <v>1095</v>
      </c>
      <c r="C21" s="80">
        <f>C61</f>
        <v>184395.98</v>
      </c>
      <c r="E21" s="29"/>
    </row>
    <row r="22" spans="1:5" ht="12.75">
      <c r="A22" s="91">
        <v>2</v>
      </c>
      <c r="B22" s="25" t="s">
        <v>344</v>
      </c>
      <c r="C22" s="102">
        <f>C66</f>
        <v>8875.59</v>
      </c>
      <c r="D22" s="388"/>
      <c r="E22" s="389"/>
    </row>
    <row r="23" spans="1:5" ht="12.75">
      <c r="A23" s="84">
        <v>3</v>
      </c>
      <c r="B23" s="9" t="s">
        <v>649</v>
      </c>
      <c r="C23" s="48">
        <v>1804.38</v>
      </c>
      <c r="E23" s="29"/>
    </row>
    <row r="24" spans="1:5" ht="12.75">
      <c r="A24" s="84">
        <v>4</v>
      </c>
      <c r="B24" s="9" t="s">
        <v>122</v>
      </c>
      <c r="C24" s="48">
        <f>(C8*0.55*12)</f>
        <v>13151.820000000002</v>
      </c>
      <c r="E24" s="29"/>
    </row>
    <row r="25" spans="1:5" ht="12.75">
      <c r="A25" s="84">
        <v>5</v>
      </c>
      <c r="B25" s="9" t="s">
        <v>658</v>
      </c>
      <c r="C25" s="79">
        <v>37182.6</v>
      </c>
      <c r="E25" s="29"/>
    </row>
    <row r="26" spans="1:5" ht="25.5">
      <c r="A26" s="91">
        <v>6</v>
      </c>
      <c r="B26" s="25" t="s">
        <v>1108</v>
      </c>
      <c r="C26" s="96">
        <v>24000</v>
      </c>
      <c r="E26" s="29"/>
    </row>
    <row r="27" spans="1:5" ht="12.75">
      <c r="A27" s="91">
        <v>7</v>
      </c>
      <c r="B27" s="25" t="s">
        <v>61</v>
      </c>
      <c r="C27" s="203">
        <v>2400</v>
      </c>
      <c r="E27" s="29"/>
    </row>
    <row r="28" spans="1:5" ht="25.5">
      <c r="A28" s="91">
        <v>8</v>
      </c>
      <c r="B28" s="25" t="s">
        <v>1109</v>
      </c>
      <c r="C28" s="96">
        <v>14000</v>
      </c>
      <c r="E28" s="29"/>
    </row>
    <row r="29" spans="1:5" ht="12.75">
      <c r="A29" s="91">
        <v>9</v>
      </c>
      <c r="B29" s="346" t="s">
        <v>26</v>
      </c>
      <c r="C29" s="96">
        <v>600</v>
      </c>
      <c r="E29" s="29"/>
    </row>
    <row r="30" spans="1:5" ht="25.5">
      <c r="A30" s="91">
        <v>10</v>
      </c>
      <c r="B30" s="25" t="s">
        <v>60</v>
      </c>
      <c r="C30" s="96">
        <v>-2300</v>
      </c>
      <c r="E30" s="29"/>
    </row>
    <row r="31" spans="1:5" ht="12.75">
      <c r="A31" s="91">
        <v>11</v>
      </c>
      <c r="B31" s="25" t="s">
        <v>1094</v>
      </c>
      <c r="C31" s="96">
        <v>19700.98</v>
      </c>
      <c r="E31" s="29"/>
    </row>
    <row r="32" spans="1:5" ht="38.25">
      <c r="A32" s="91">
        <v>12</v>
      </c>
      <c r="B32" s="25" t="s">
        <v>1107</v>
      </c>
      <c r="C32" s="349">
        <v>2502.3</v>
      </c>
      <c r="E32" s="29"/>
    </row>
    <row r="33" spans="1:3" ht="12.75">
      <c r="A33" s="50"/>
      <c r="B33" s="20" t="s">
        <v>629</v>
      </c>
      <c r="C33" s="51">
        <f>SUM(C21:C32)</f>
        <v>306313.64999999997</v>
      </c>
    </row>
    <row r="34" spans="1:3" ht="12.75">
      <c r="A34" s="49"/>
      <c r="B34" s="8" t="s">
        <v>965</v>
      </c>
      <c r="C34" s="45"/>
    </row>
    <row r="35" spans="1:3" ht="12.75">
      <c r="A35" s="84">
        <v>1</v>
      </c>
      <c r="B35" s="9" t="s">
        <v>228</v>
      </c>
      <c r="C35" s="48">
        <f>(C16)*15%</f>
        <v>59436.25199999999</v>
      </c>
    </row>
    <row r="36" spans="1:3" ht="12.75">
      <c r="A36" s="84">
        <v>2</v>
      </c>
      <c r="B36" s="9" t="s">
        <v>813</v>
      </c>
      <c r="C36" s="48">
        <f>C72</f>
        <v>4315.900861453354</v>
      </c>
    </row>
    <row r="37" spans="1:3" ht="12.75">
      <c r="A37" s="84">
        <v>3</v>
      </c>
      <c r="B37" s="9" t="s">
        <v>653</v>
      </c>
      <c r="C37" s="48">
        <f>C73</f>
        <v>4687.707839161849</v>
      </c>
    </row>
    <row r="38" spans="1:3" ht="12.75">
      <c r="A38" s="84">
        <v>4</v>
      </c>
      <c r="B38" s="9" t="s">
        <v>1114</v>
      </c>
      <c r="C38" s="52">
        <f>C74</f>
        <v>9516.234339160648</v>
      </c>
    </row>
    <row r="39" spans="1:3" ht="12.75">
      <c r="A39" s="84">
        <v>5</v>
      </c>
      <c r="B39" s="9" t="s">
        <v>162</v>
      </c>
      <c r="C39" s="52">
        <f>C75</f>
        <v>6953.386161579215</v>
      </c>
    </row>
    <row r="40" spans="1:3" ht="12.75">
      <c r="A40" s="84">
        <v>6</v>
      </c>
      <c r="B40" s="9" t="s">
        <v>1051</v>
      </c>
      <c r="C40" s="48">
        <f>C76+C78+C79+C80+C77</f>
        <v>11799.866920204844</v>
      </c>
    </row>
    <row r="41" spans="1:3" ht="12.75">
      <c r="A41" s="49"/>
      <c r="B41" s="74" t="s">
        <v>809</v>
      </c>
      <c r="C41" s="53"/>
    </row>
    <row r="42" spans="1:3" ht="12.75">
      <c r="A42" s="49"/>
      <c r="B42" s="5" t="s">
        <v>655</v>
      </c>
      <c r="C42" s="53"/>
    </row>
    <row r="43" spans="1:3" ht="12.75">
      <c r="A43" s="49"/>
      <c r="B43" s="74" t="s">
        <v>656</v>
      </c>
      <c r="C43" s="53"/>
    </row>
    <row r="44" spans="1:3" ht="12.75">
      <c r="A44" s="49"/>
      <c r="B44" s="74" t="s">
        <v>808</v>
      </c>
      <c r="C44" s="53"/>
    </row>
    <row r="45" spans="1:3" ht="12.75">
      <c r="A45" s="50"/>
      <c r="B45" s="20" t="s">
        <v>629</v>
      </c>
      <c r="C45" s="51">
        <f>C35+C36+C37+C38+C39+C40</f>
        <v>96709.34812155989</v>
      </c>
    </row>
    <row r="46" spans="1:3" ht="12.75">
      <c r="A46" s="49"/>
      <c r="B46" s="7" t="s">
        <v>966</v>
      </c>
      <c r="C46" s="45"/>
    </row>
    <row r="47" spans="1:3" ht="12.75">
      <c r="A47" s="84">
        <v>1</v>
      </c>
      <c r="B47" s="9" t="s">
        <v>631</v>
      </c>
      <c r="C47" s="48">
        <f>C16*2%</f>
        <v>7924.8336</v>
      </c>
    </row>
    <row r="48" spans="1:3" ht="12.75">
      <c r="A48" s="84">
        <v>2</v>
      </c>
      <c r="B48" s="9" t="s">
        <v>391</v>
      </c>
      <c r="C48" s="48">
        <f>C49</f>
        <v>23299.010784</v>
      </c>
    </row>
    <row r="49" spans="1:4" ht="12.75">
      <c r="A49" s="49"/>
      <c r="B49" s="5" t="s">
        <v>334</v>
      </c>
      <c r="C49" s="41">
        <f>(C16-C47)*6%</f>
        <v>23299.010784</v>
      </c>
      <c r="D49" s="19"/>
    </row>
    <row r="50" spans="1:3" ht="13.5" thickBot="1">
      <c r="A50" s="54"/>
      <c r="B50" s="55" t="s">
        <v>967</v>
      </c>
      <c r="C50" s="56">
        <f>C47+C48</f>
        <v>31223.844383999996</v>
      </c>
    </row>
    <row r="51" spans="1:3" ht="12.75">
      <c r="A51" s="23"/>
      <c r="B51" s="4" t="s">
        <v>288</v>
      </c>
      <c r="C51" s="11">
        <f>C33+C45+C50</f>
        <v>434246.84250555985</v>
      </c>
    </row>
    <row r="52" spans="1:3" ht="12.75">
      <c r="A52" s="23"/>
      <c r="B52" s="77"/>
      <c r="C52" s="1"/>
    </row>
    <row r="53" spans="1:3" ht="15">
      <c r="A53" s="23"/>
      <c r="B53" s="14" t="s">
        <v>812</v>
      </c>
      <c r="C53" s="1">
        <v>91167.23</v>
      </c>
    </row>
    <row r="54" spans="1:3" ht="15">
      <c r="A54" s="23"/>
      <c r="B54" s="14" t="s">
        <v>12</v>
      </c>
      <c r="C54" s="1">
        <v>91167.23</v>
      </c>
    </row>
    <row r="55" spans="1:3" ht="15">
      <c r="A55" s="23"/>
      <c r="B55" s="14" t="s">
        <v>180</v>
      </c>
      <c r="C55" s="11">
        <f>C51-C16+C53-C54</f>
        <v>38005.162505559856</v>
      </c>
    </row>
    <row r="56" ht="12.75">
      <c r="B56" s="1" t="s">
        <v>85</v>
      </c>
    </row>
    <row r="57" ht="12.75">
      <c r="B57" s="1" t="s">
        <v>1197</v>
      </c>
    </row>
    <row r="58" spans="1:4" ht="12.75">
      <c r="A58" s="2"/>
      <c r="B58" s="2"/>
      <c r="C58" s="2" t="s">
        <v>790</v>
      </c>
      <c r="D58" s="2"/>
    </row>
    <row r="59" spans="1:4" ht="12.75">
      <c r="A59" s="2"/>
      <c r="B59" s="2"/>
      <c r="C59" s="2" t="s">
        <v>1098</v>
      </c>
      <c r="D59" s="2"/>
    </row>
    <row r="60" spans="1:5" ht="13.5" thickBot="1">
      <c r="A60" s="37"/>
      <c r="B60" s="37" t="s">
        <v>969</v>
      </c>
      <c r="C60" s="32" t="s">
        <v>886</v>
      </c>
      <c r="D60" s="114">
        <f>C8</f>
        <v>1992.7</v>
      </c>
      <c r="E60" t="s">
        <v>116</v>
      </c>
    </row>
    <row r="61" spans="1:5" ht="12.75">
      <c r="A61" s="60" t="s">
        <v>218</v>
      </c>
      <c r="B61" s="39" t="s">
        <v>797</v>
      </c>
      <c r="C61" s="47">
        <v>184395.98</v>
      </c>
      <c r="D61" s="15"/>
      <c r="E61" s="21"/>
    </row>
    <row r="62" spans="1:5" ht="12.75">
      <c r="A62" s="61"/>
      <c r="B62" s="6" t="s">
        <v>118</v>
      </c>
      <c r="C62" s="41"/>
      <c r="D62" s="15"/>
      <c r="E62" s="21"/>
    </row>
    <row r="63" spans="1:5" ht="12.75">
      <c r="A63" s="62" t="s">
        <v>166</v>
      </c>
      <c r="B63" s="6" t="s">
        <v>380</v>
      </c>
      <c r="C63" s="41">
        <v>15344.75</v>
      </c>
      <c r="D63" s="15"/>
      <c r="E63" s="15"/>
    </row>
    <row r="64" spans="1:5" ht="12.75">
      <c r="A64" s="62" t="s">
        <v>166</v>
      </c>
      <c r="B64" s="6" t="s">
        <v>341</v>
      </c>
      <c r="C64" s="41">
        <v>6580.99</v>
      </c>
      <c r="D64" s="15"/>
      <c r="E64" s="15"/>
    </row>
    <row r="65" spans="1:5" ht="13.5" thickBot="1">
      <c r="A65" s="63" t="s">
        <v>166</v>
      </c>
      <c r="B65" s="42" t="s">
        <v>818</v>
      </c>
      <c r="C65" s="46">
        <v>2950.94</v>
      </c>
      <c r="D65" s="15"/>
      <c r="E65" s="15"/>
    </row>
    <row r="66" spans="1:5" ht="12.75">
      <c r="A66" s="60" t="s">
        <v>328</v>
      </c>
      <c r="B66" s="39" t="s">
        <v>343</v>
      </c>
      <c r="C66" s="47">
        <v>8875.59</v>
      </c>
      <c r="D66" s="15"/>
      <c r="E66" s="12"/>
    </row>
    <row r="67" spans="1:5" ht="12.75">
      <c r="A67" s="61"/>
      <c r="B67" s="6" t="s">
        <v>118</v>
      </c>
      <c r="C67" s="41"/>
      <c r="D67" s="15"/>
      <c r="E67" s="12"/>
    </row>
    <row r="68" spans="1:5" ht="12.75">
      <c r="A68" s="62" t="s">
        <v>166</v>
      </c>
      <c r="B68" s="6" t="s">
        <v>380</v>
      </c>
      <c r="C68" s="41">
        <v>794</v>
      </c>
      <c r="D68" s="15"/>
      <c r="E68" s="12"/>
    </row>
    <row r="69" spans="1:5" ht="13.5" thickBot="1">
      <c r="A69" s="63" t="s">
        <v>166</v>
      </c>
      <c r="B69" s="42" t="s">
        <v>818</v>
      </c>
      <c r="C69" s="46">
        <v>113.94</v>
      </c>
      <c r="D69" s="15"/>
      <c r="E69" s="15"/>
    </row>
    <row r="70" spans="1:5" ht="12.75">
      <c r="A70" s="300" t="s">
        <v>787</v>
      </c>
      <c r="B70" s="97" t="s">
        <v>1050</v>
      </c>
      <c r="C70" s="82">
        <f>C71+C72+C74+C73+C75+C76+C78+C79+C80+C77</f>
        <v>96709.34812155992</v>
      </c>
      <c r="D70" s="15"/>
      <c r="E70" s="12"/>
    </row>
    <row r="71" spans="1:5" ht="13.5" thickBot="1">
      <c r="A71" s="40" t="s">
        <v>166</v>
      </c>
      <c r="B71" s="6" t="s">
        <v>227</v>
      </c>
      <c r="C71" s="41">
        <f>C35</f>
        <v>59436.25199999999</v>
      </c>
      <c r="D71" s="15"/>
      <c r="E71" s="12"/>
    </row>
    <row r="72" spans="1:5" ht="12.75">
      <c r="A72" s="40" t="s">
        <v>166</v>
      </c>
      <c r="B72" s="6" t="s">
        <v>370</v>
      </c>
      <c r="C72" s="317">
        <f>401410.25/185335.63*C8</f>
        <v>4315.900861453354</v>
      </c>
      <c r="D72" s="375" t="s">
        <v>1097</v>
      </c>
      <c r="E72" s="376"/>
    </row>
    <row r="73" spans="1:5" ht="12.75">
      <c r="A73" s="73" t="s">
        <v>166</v>
      </c>
      <c r="B73" s="74" t="s">
        <v>397</v>
      </c>
      <c r="C73" s="317">
        <f>435991.01/185335.63*C8</f>
        <v>4687.707839161849</v>
      </c>
      <c r="D73" s="377" t="s">
        <v>1099</v>
      </c>
      <c r="E73" s="378"/>
    </row>
    <row r="74" spans="1:5" ht="12.75">
      <c r="A74" s="71" t="s">
        <v>166</v>
      </c>
      <c r="B74" s="72" t="s">
        <v>416</v>
      </c>
      <c r="C74" s="317">
        <f>1082167/226605.83*C8</f>
        <v>9516.234339160648</v>
      </c>
      <c r="D74" s="379" t="s">
        <v>1100</v>
      </c>
      <c r="E74" s="380"/>
    </row>
    <row r="75" spans="1:5" ht="25.5">
      <c r="A75" s="73" t="s">
        <v>166</v>
      </c>
      <c r="B75" s="72" t="s">
        <v>231</v>
      </c>
      <c r="C75" s="318">
        <f>845684.35/242356.05*D60</f>
        <v>6953.386161579215</v>
      </c>
      <c r="D75" s="381" t="s">
        <v>1101</v>
      </c>
      <c r="E75" s="382"/>
    </row>
    <row r="76" spans="1:5" ht="12.75">
      <c r="A76" s="73" t="s">
        <v>166</v>
      </c>
      <c r="B76" s="74" t="s">
        <v>808</v>
      </c>
      <c r="C76" s="318">
        <f>642562.44/242356.05*D60</f>
        <v>5283.277121359256</v>
      </c>
      <c r="D76" s="371" t="s">
        <v>1102</v>
      </c>
      <c r="E76" s="372"/>
    </row>
    <row r="77" spans="1:5" ht="12.75">
      <c r="A77" s="73" t="s">
        <v>166</v>
      </c>
      <c r="B77" s="74" t="s">
        <v>826</v>
      </c>
      <c r="C77" s="318">
        <f>51615/196822.43*D60</f>
        <v>522.5685431279352</v>
      </c>
      <c r="D77" s="371" t="s">
        <v>1103</v>
      </c>
      <c r="E77" s="372"/>
    </row>
    <row r="78" spans="1:5" ht="12.75">
      <c r="A78" s="73" t="s">
        <v>166</v>
      </c>
      <c r="B78" s="74" t="s">
        <v>655</v>
      </c>
      <c r="C78" s="318">
        <f>129011.28/196822.43*D60</f>
        <v>1306.1558972521577</v>
      </c>
      <c r="D78" s="371" t="s">
        <v>1104</v>
      </c>
      <c r="E78" s="372"/>
    </row>
    <row r="79" spans="1:5" ht="12.75">
      <c r="A79" s="73" t="s">
        <v>166</v>
      </c>
      <c r="B79" s="74" t="s">
        <v>656</v>
      </c>
      <c r="C79" s="318">
        <f>164128/196822.43*D60</f>
        <v>1661.6900096193306</v>
      </c>
      <c r="D79" s="373" t="s">
        <v>1105</v>
      </c>
      <c r="E79" s="374"/>
    </row>
    <row r="80" spans="1:5" ht="13.5" thickBot="1">
      <c r="A80" s="75" t="s">
        <v>166</v>
      </c>
      <c r="B80" s="76" t="s">
        <v>809</v>
      </c>
      <c r="C80" s="319">
        <f>298900.58/196822.43*D60</f>
        <v>3026.175348846166</v>
      </c>
      <c r="D80" s="369" t="s">
        <v>1106</v>
      </c>
      <c r="E80" s="370"/>
    </row>
    <row r="81" ht="13.5" thickBot="1"/>
    <row r="82" spans="2:5" ht="26.25" thickBot="1">
      <c r="B82" s="143"/>
      <c r="C82" s="205" t="s">
        <v>104</v>
      </c>
      <c r="D82" s="236" t="s">
        <v>306</v>
      </c>
      <c r="E82" s="130" t="s">
        <v>305</v>
      </c>
    </row>
    <row r="83" spans="2:5" ht="13.5" thickBot="1">
      <c r="B83" s="393" t="s">
        <v>807</v>
      </c>
      <c r="C83" s="394"/>
      <c r="D83" s="394"/>
      <c r="E83" s="395"/>
    </row>
    <row r="84" spans="2:5" ht="12.75">
      <c r="B84" s="140" t="s">
        <v>285</v>
      </c>
      <c r="C84" s="234">
        <v>120120</v>
      </c>
      <c r="D84" s="218">
        <v>133590.61</v>
      </c>
      <c r="E84" s="44">
        <f>D84-C84</f>
        <v>13470.609999999986</v>
      </c>
    </row>
    <row r="85" spans="2:5" ht="13.5" thickBot="1">
      <c r="B85" s="157" t="s">
        <v>637</v>
      </c>
      <c r="C85" s="225">
        <v>71422.14</v>
      </c>
      <c r="D85" s="235">
        <v>79229.75</v>
      </c>
      <c r="E85" s="46">
        <f>D85-C85</f>
        <v>7807.610000000001</v>
      </c>
    </row>
    <row r="86" spans="2:5" ht="13.5" thickBot="1">
      <c r="B86" s="124"/>
      <c r="C86" s="119">
        <f>SUM(C84:C85)</f>
        <v>191542.14</v>
      </c>
      <c r="D86" s="119">
        <f>SUM(D84:D85)</f>
        <v>212820.36</v>
      </c>
      <c r="E86" s="119">
        <f>SUM(E84:E85)</f>
        <v>21278.219999999987</v>
      </c>
    </row>
    <row r="87" spans="2:5" ht="13.5" thickBot="1">
      <c r="B87" s="363" t="s">
        <v>421</v>
      </c>
      <c r="C87" s="364"/>
      <c r="D87" s="364"/>
      <c r="E87" s="365"/>
    </row>
    <row r="88" spans="2:5" ht="12.75">
      <c r="B88" s="140" t="s">
        <v>285</v>
      </c>
      <c r="C88" s="212">
        <v>169133.47</v>
      </c>
      <c r="D88" s="223">
        <v>179900.96</v>
      </c>
      <c r="E88" s="242">
        <f>D88-C88</f>
        <v>10767.48999999999</v>
      </c>
    </row>
    <row r="89" spans="2:5" ht="12.75">
      <c r="B89" s="115" t="s">
        <v>637</v>
      </c>
      <c r="C89" s="18">
        <v>89860.06</v>
      </c>
      <c r="D89" s="18">
        <v>94852.52</v>
      </c>
      <c r="E89" s="57">
        <f>D89-C89</f>
        <v>4992.460000000006</v>
      </c>
    </row>
    <row r="90" spans="2:5" ht="12.75">
      <c r="B90" s="116" t="s">
        <v>408</v>
      </c>
      <c r="C90" s="18">
        <v>11254.94</v>
      </c>
      <c r="D90" s="18">
        <v>15014.4</v>
      </c>
      <c r="E90" s="57">
        <f>D90-C90</f>
        <v>3759.459999999999</v>
      </c>
    </row>
    <row r="91" spans="2:5" ht="12.75">
      <c r="B91" s="116" t="s">
        <v>163</v>
      </c>
      <c r="C91" s="18">
        <v>13770.55</v>
      </c>
      <c r="D91" s="18">
        <v>19050.2</v>
      </c>
      <c r="E91" s="57">
        <f>D91-C91</f>
        <v>5279.6500000000015</v>
      </c>
    </row>
    <row r="92" spans="2:5" ht="26.25" thickBot="1">
      <c r="B92" s="266" t="s">
        <v>1046</v>
      </c>
      <c r="C92" s="224">
        <v>3200</v>
      </c>
      <c r="D92" s="267">
        <v>3200</v>
      </c>
      <c r="E92" s="219">
        <f>D92-C92</f>
        <v>0</v>
      </c>
    </row>
    <row r="93" spans="2:5" ht="13.5" thickBot="1">
      <c r="B93" s="124"/>
      <c r="C93" s="252">
        <f>SUM(C88:C92)</f>
        <v>287219.01999999996</v>
      </c>
      <c r="D93" s="252">
        <f>SUM(D88:D92)</f>
        <v>312018.08</v>
      </c>
      <c r="E93" s="119">
        <f>SUM(E88:E92)</f>
        <v>24799.059999999998</v>
      </c>
    </row>
    <row r="94" spans="2:5" ht="13.5" thickBot="1">
      <c r="B94" s="363" t="s">
        <v>1110</v>
      </c>
      <c r="C94" s="364"/>
      <c r="D94" s="364"/>
      <c r="E94" s="365"/>
    </row>
    <row r="95" spans="2:5" ht="12.75">
      <c r="B95" s="140" t="s">
        <v>285</v>
      </c>
      <c r="C95" s="234">
        <v>201264.05</v>
      </c>
      <c r="D95" s="218">
        <v>214494.23</v>
      </c>
      <c r="E95" s="253">
        <f>D95-C95</f>
        <v>13230.180000000022</v>
      </c>
    </row>
    <row r="96" spans="2:5" ht="12.75">
      <c r="B96" s="115" t="s">
        <v>637</v>
      </c>
      <c r="C96" s="10">
        <v>106349.89</v>
      </c>
      <c r="D96" s="99">
        <v>113344.8</v>
      </c>
      <c r="E96" s="275">
        <f>D96-C96</f>
        <v>6994.9100000000035</v>
      </c>
    </row>
    <row r="97" spans="2:5" ht="12.75">
      <c r="B97" s="220" t="s">
        <v>633</v>
      </c>
      <c r="C97" s="125">
        <v>33789.68</v>
      </c>
      <c r="D97" s="125">
        <v>35958.39</v>
      </c>
      <c r="E97" s="275">
        <f>D97-C97</f>
        <v>2168.709999999999</v>
      </c>
    </row>
    <row r="98" spans="2:5" ht="12.75">
      <c r="B98" s="278" t="s">
        <v>163</v>
      </c>
      <c r="C98" s="258">
        <v>41112.67</v>
      </c>
      <c r="D98" s="258">
        <v>33080.9</v>
      </c>
      <c r="E98" s="53">
        <f>D98-C98</f>
        <v>-8031.769999999997</v>
      </c>
    </row>
    <row r="99" spans="2:5" ht="26.25" thickBot="1">
      <c r="B99" s="266" t="s">
        <v>1046</v>
      </c>
      <c r="C99" s="274">
        <v>4900</v>
      </c>
      <c r="D99" s="277">
        <v>4900</v>
      </c>
      <c r="E99" s="85">
        <f>D99-C99</f>
        <v>0</v>
      </c>
    </row>
    <row r="100" spans="2:5" ht="13.5" thickBot="1">
      <c r="B100" s="187"/>
      <c r="C100" s="254">
        <f>SUM(C95:C99)</f>
        <v>387416.29</v>
      </c>
      <c r="D100" s="255">
        <f>SUM(D95:D99)</f>
        <v>401778.32000000007</v>
      </c>
      <c r="E100" s="256">
        <f>SUM(E95:E99)</f>
        <v>14362.030000000028</v>
      </c>
    </row>
    <row r="101" spans="2:5" ht="13.5" thickBot="1">
      <c r="B101" s="363" t="s">
        <v>206</v>
      </c>
      <c r="C101" s="364"/>
      <c r="D101" s="364"/>
      <c r="E101" s="365"/>
    </row>
    <row r="102" spans="2:5" ht="12.75">
      <c r="B102" s="140" t="s">
        <v>285</v>
      </c>
      <c r="C102" s="234">
        <v>197567.2</v>
      </c>
      <c r="D102" s="218">
        <v>221349.12</v>
      </c>
      <c r="E102" s="253">
        <f>D102-C102</f>
        <v>23781.919999999984</v>
      </c>
    </row>
    <row r="103" spans="2:5" ht="12.75">
      <c r="B103" s="115" t="s">
        <v>637</v>
      </c>
      <c r="C103" s="10">
        <v>96731.08</v>
      </c>
      <c r="D103" s="99">
        <v>113663.61</v>
      </c>
      <c r="E103" s="275">
        <f>D103-C103</f>
        <v>16932.53</v>
      </c>
    </row>
    <row r="104" spans="2:5" ht="12.75">
      <c r="B104" s="220" t="s">
        <v>633</v>
      </c>
      <c r="C104" s="125">
        <v>33623.1</v>
      </c>
      <c r="D104" s="125">
        <v>37462.76</v>
      </c>
      <c r="E104" s="275">
        <f>D104-C104</f>
        <v>3839.6600000000035</v>
      </c>
    </row>
    <row r="105" spans="2:5" ht="25.5">
      <c r="B105" s="269" t="s">
        <v>1046</v>
      </c>
      <c r="C105" s="107">
        <v>4200</v>
      </c>
      <c r="D105" s="107">
        <v>4200</v>
      </c>
      <c r="E105" s="53">
        <f>D105-C105</f>
        <v>0</v>
      </c>
    </row>
    <row r="106" spans="2:5" ht="13.5" thickBot="1">
      <c r="B106" s="157" t="s">
        <v>1200</v>
      </c>
      <c r="C106" s="142">
        <v>9848.27</v>
      </c>
      <c r="D106" s="142">
        <v>9848.27</v>
      </c>
      <c r="E106" s="85">
        <f>D106-C106</f>
        <v>0</v>
      </c>
    </row>
    <row r="107" spans="2:5" ht="13.5" thickBot="1">
      <c r="B107" s="187"/>
      <c r="C107" s="254">
        <f>SUM(C102:C106)</f>
        <v>341969.65</v>
      </c>
      <c r="D107" s="255">
        <f>SUM(D102:D106)</f>
        <v>386523.76</v>
      </c>
      <c r="E107" s="256">
        <f>SUM(E102:E106)</f>
        <v>44554.109999999986</v>
      </c>
    </row>
    <row r="108" spans="2:5" ht="13.5" thickBot="1">
      <c r="B108" s="363" t="s">
        <v>814</v>
      </c>
      <c r="C108" s="364"/>
      <c r="D108" s="364"/>
      <c r="E108" s="365"/>
    </row>
    <row r="109" spans="2:5" ht="12.75">
      <c r="B109" s="140" t="s">
        <v>285</v>
      </c>
      <c r="C109" s="234">
        <v>158905.53</v>
      </c>
      <c r="D109" s="218">
        <v>156706.16</v>
      </c>
      <c r="E109" s="253">
        <f aca="true" t="shared" si="0" ref="E109:E114">D109-C109</f>
        <v>-2199.3699999999953</v>
      </c>
    </row>
    <row r="110" spans="2:5" ht="12.75">
      <c r="B110" s="115" t="s">
        <v>637</v>
      </c>
      <c r="C110" s="10">
        <v>77329</v>
      </c>
      <c r="D110" s="99">
        <v>76200.88</v>
      </c>
      <c r="E110" s="275">
        <f t="shared" si="0"/>
        <v>-1128.1199999999953</v>
      </c>
    </row>
    <row r="111" spans="2:5" ht="12.75">
      <c r="B111" s="220" t="s">
        <v>633</v>
      </c>
      <c r="C111" s="125">
        <v>27548.26</v>
      </c>
      <c r="D111" s="125">
        <v>27100.72</v>
      </c>
      <c r="E111" s="275">
        <f t="shared" si="0"/>
        <v>-447.53999999999724</v>
      </c>
    </row>
    <row r="112" spans="2:5" ht="12.75">
      <c r="B112" s="220" t="s">
        <v>811</v>
      </c>
      <c r="C112" s="125">
        <v>10994.83</v>
      </c>
      <c r="D112" s="125">
        <v>13252.4</v>
      </c>
      <c r="E112" s="275">
        <f t="shared" si="0"/>
        <v>2257.5699999999997</v>
      </c>
    </row>
    <row r="113" spans="2:5" ht="25.5">
      <c r="B113" s="269" t="s">
        <v>1046</v>
      </c>
      <c r="C113" s="107">
        <v>2100</v>
      </c>
      <c r="D113" s="107">
        <v>2100</v>
      </c>
      <c r="E113" s="81">
        <f t="shared" si="0"/>
        <v>0</v>
      </c>
    </row>
    <row r="114" spans="2:5" ht="13.5" thickBot="1">
      <c r="B114" s="157" t="s">
        <v>163</v>
      </c>
      <c r="C114" s="142">
        <v>265.12</v>
      </c>
      <c r="D114" s="142">
        <v>0</v>
      </c>
      <c r="E114" s="85">
        <f t="shared" si="0"/>
        <v>-265.12</v>
      </c>
    </row>
    <row r="115" spans="2:5" ht="13.5" thickBot="1">
      <c r="B115" s="187"/>
      <c r="C115" s="254">
        <f>SUM(C109:C114)</f>
        <v>277142.74</v>
      </c>
      <c r="D115" s="255">
        <f>SUM(D109:D114)</f>
        <v>275360.16000000003</v>
      </c>
      <c r="E115" s="256">
        <f>SUM(E109:E114)</f>
        <v>-1782.579999999988</v>
      </c>
    </row>
    <row r="116" spans="2:5" ht="13.5" thickBot="1">
      <c r="B116" s="363" t="s">
        <v>87</v>
      </c>
      <c r="C116" s="364"/>
      <c r="D116" s="364"/>
      <c r="E116" s="365"/>
    </row>
    <row r="117" spans="2:5" ht="12.75">
      <c r="B117" s="140" t="s">
        <v>285</v>
      </c>
      <c r="C117" s="234">
        <v>206348.06</v>
      </c>
      <c r="D117" s="218">
        <v>235997.26</v>
      </c>
      <c r="E117" s="253">
        <f>D117-C117</f>
        <v>29649.20000000001</v>
      </c>
    </row>
    <row r="118" spans="2:5" ht="12.75">
      <c r="B118" s="115" t="s">
        <v>637</v>
      </c>
      <c r="C118" s="10">
        <v>113792.37</v>
      </c>
      <c r="D118" s="98">
        <f>121075.83+217.4</f>
        <v>121293.23</v>
      </c>
      <c r="E118" s="275">
        <f>D118-C118</f>
        <v>7500.860000000001</v>
      </c>
    </row>
    <row r="119" spans="2:5" ht="12.75">
      <c r="B119" s="115" t="s">
        <v>364</v>
      </c>
      <c r="C119" s="10">
        <v>25224.27</v>
      </c>
      <c r="D119" s="98">
        <v>27403.26</v>
      </c>
      <c r="E119" s="275">
        <f>D119-C119</f>
        <v>2178.989999999998</v>
      </c>
    </row>
    <row r="120" spans="2:5" ht="12.75">
      <c r="B120" s="115" t="s">
        <v>633</v>
      </c>
      <c r="C120" s="10">
        <v>41376.98</v>
      </c>
      <c r="D120" s="98">
        <v>43977.91</v>
      </c>
      <c r="E120" s="275">
        <f>D120-C120</f>
        <v>2600.9300000000003</v>
      </c>
    </row>
    <row r="121" spans="2:5" ht="13.5" thickBot="1">
      <c r="B121" s="157" t="s">
        <v>29</v>
      </c>
      <c r="C121" s="225">
        <f>3500+2400+3600</f>
        <v>9500</v>
      </c>
      <c r="D121" s="227">
        <f>4200+2400+3300</f>
        <v>9900</v>
      </c>
      <c r="E121" s="85">
        <f>D121-C121</f>
        <v>400</v>
      </c>
    </row>
    <row r="122" spans="2:5" ht="13.5" thickBot="1">
      <c r="B122" s="187"/>
      <c r="C122" s="254">
        <f>SUM(C117:C121)</f>
        <v>396241.68</v>
      </c>
      <c r="D122" s="255">
        <f>SUM(D117:D121)</f>
        <v>438571.66000000003</v>
      </c>
      <c r="E122" s="256">
        <f>SUM(E117:E121)</f>
        <v>42329.98000000001</v>
      </c>
    </row>
    <row r="123" spans="2:5" ht="13.5" thickBot="1">
      <c r="B123" s="366" t="s">
        <v>379</v>
      </c>
      <c r="C123" s="367"/>
      <c r="D123" s="367"/>
      <c r="E123" s="368"/>
    </row>
    <row r="124" spans="2:5" ht="13.5" thickBot="1">
      <c r="B124" s="153"/>
      <c r="C124" s="117">
        <f>C93+C100+C86+C107+C115+C122</f>
        <v>1881531.52</v>
      </c>
      <c r="D124" s="117">
        <f>D93+D100+D86+D107+D115+D122</f>
        <v>2027072.3400000003</v>
      </c>
      <c r="E124" s="117">
        <f>E93+E100+E86+E107+E115+E122</f>
        <v>145540.82</v>
      </c>
    </row>
  </sheetData>
  <sheetProtection/>
  <mergeCells count="24">
    <mergeCell ref="B87:E87"/>
    <mergeCell ref="B94:E94"/>
    <mergeCell ref="B101:E101"/>
    <mergeCell ref="B108:E108"/>
    <mergeCell ref="B123:E123"/>
    <mergeCell ref="B116:E116"/>
    <mergeCell ref="D76:E76"/>
    <mergeCell ref="D77:E77"/>
    <mergeCell ref="D78:E78"/>
    <mergeCell ref="D79:E79"/>
    <mergeCell ref="D80:E80"/>
    <mergeCell ref="B83:E83"/>
    <mergeCell ref="A18:D18"/>
    <mergeCell ref="D22:E22"/>
    <mergeCell ref="D72:E72"/>
    <mergeCell ref="D73:E73"/>
    <mergeCell ref="D74:E74"/>
    <mergeCell ref="D75:E75"/>
    <mergeCell ref="A2:B2"/>
    <mergeCell ref="C2:E2"/>
    <mergeCell ref="C3:E3"/>
    <mergeCell ref="B4:E4"/>
    <mergeCell ref="A6:E6"/>
    <mergeCell ref="A17:D17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625" style="0" customWidth="1"/>
    <col min="2" max="2" width="56.875" style="0" customWidth="1"/>
    <col min="3" max="3" width="13.25390625" style="0" customWidth="1"/>
    <col min="4" max="4" width="12.375" style="0" customWidth="1"/>
    <col min="5" max="5" width="13.00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650</v>
      </c>
      <c r="C7" s="26"/>
      <c r="D7" s="24"/>
    </row>
    <row r="8" spans="1:4" ht="15">
      <c r="A8" s="26"/>
      <c r="B8" s="27" t="s">
        <v>115</v>
      </c>
      <c r="C8" s="38">
        <v>1952.5</v>
      </c>
      <c r="D8" s="92" t="s">
        <v>116</v>
      </c>
    </row>
    <row r="9" spans="1:4" ht="15">
      <c r="A9" s="26"/>
      <c r="B9" s="27" t="s">
        <v>654</v>
      </c>
      <c r="C9" s="93">
        <v>56.2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222751.81</v>
      </c>
      <c r="D12" s="155">
        <v>241802.41</v>
      </c>
      <c r="E12" s="242">
        <f aca="true" t="shared" si="0" ref="E12:E19">D12-C12</f>
        <v>19050.600000000006</v>
      </c>
    </row>
    <row r="13" spans="1:5" ht="12.75">
      <c r="A13" s="84">
        <v>2</v>
      </c>
      <c r="B13" s="5" t="s">
        <v>637</v>
      </c>
      <c r="C13" s="10">
        <v>109104.37</v>
      </c>
      <c r="D13" s="34">
        <v>118673.7</v>
      </c>
      <c r="E13" s="57">
        <f t="shared" si="0"/>
        <v>9569.330000000002</v>
      </c>
    </row>
    <row r="14" spans="1:5" ht="12.75">
      <c r="A14" s="87">
        <v>3</v>
      </c>
      <c r="B14" s="5" t="s">
        <v>633</v>
      </c>
      <c r="C14" s="67">
        <v>38715.01</v>
      </c>
      <c r="D14" s="83">
        <v>42174</v>
      </c>
      <c r="E14" s="57">
        <f t="shared" si="0"/>
        <v>3458.989999999998</v>
      </c>
    </row>
    <row r="15" spans="1:5" ht="12.75">
      <c r="A15" s="84">
        <v>4</v>
      </c>
      <c r="B15" s="65" t="s">
        <v>364</v>
      </c>
      <c r="C15" s="94">
        <v>61496.68</v>
      </c>
      <c r="D15" s="83">
        <v>64481.72</v>
      </c>
      <c r="E15" s="57">
        <f t="shared" si="0"/>
        <v>2985.040000000001</v>
      </c>
    </row>
    <row r="16" spans="1:5" ht="12.75" customHeight="1">
      <c r="A16" s="87">
        <v>5</v>
      </c>
      <c r="B16" s="351" t="s">
        <v>1007</v>
      </c>
      <c r="C16" s="258">
        <v>5938.34</v>
      </c>
      <c r="D16" s="258">
        <v>5938.34</v>
      </c>
      <c r="E16" s="66">
        <f t="shared" si="0"/>
        <v>0</v>
      </c>
    </row>
    <row r="17" spans="1:5" ht="12.75">
      <c r="A17" s="84">
        <v>6</v>
      </c>
      <c r="B17" s="65" t="s">
        <v>29</v>
      </c>
      <c r="C17" s="94">
        <f>2400+3600</f>
        <v>6000</v>
      </c>
      <c r="D17" s="83">
        <f>2400+3300</f>
        <v>5700</v>
      </c>
      <c r="E17" s="57">
        <f t="shared" si="0"/>
        <v>-300</v>
      </c>
    </row>
    <row r="18" spans="1:5" ht="12.75">
      <c r="A18" s="84">
        <v>7</v>
      </c>
      <c r="B18" s="105" t="s">
        <v>415</v>
      </c>
      <c r="C18" s="122">
        <v>1956.93</v>
      </c>
      <c r="D18" s="122">
        <v>2256.25</v>
      </c>
      <c r="E18" s="66">
        <f t="shared" si="0"/>
        <v>299.31999999999994</v>
      </c>
    </row>
    <row r="19" spans="1:5" ht="13.5" thickBot="1">
      <c r="A19" s="87">
        <v>8</v>
      </c>
      <c r="B19" s="5" t="s">
        <v>805</v>
      </c>
      <c r="C19" s="67">
        <v>16751.58</v>
      </c>
      <c r="D19" s="83">
        <v>12604.54</v>
      </c>
      <c r="E19" s="57">
        <f t="shared" si="0"/>
        <v>-4147.040000000001</v>
      </c>
    </row>
    <row r="20" spans="1:5" ht="13.5" thickBot="1">
      <c r="A20" s="208"/>
      <c r="B20" s="209"/>
      <c r="C20" s="135">
        <f>SUM(C12:C19)</f>
        <v>462714.72000000003</v>
      </c>
      <c r="D20" s="135">
        <f>SUM(D12:D19)</f>
        <v>493630.95999999996</v>
      </c>
      <c r="E20" s="136">
        <f>SUM(E12:E19)</f>
        <v>30916.240000000005</v>
      </c>
    </row>
    <row r="21" spans="1:5" ht="12.75">
      <c r="A21" s="385" t="s">
        <v>793</v>
      </c>
      <c r="B21" s="386"/>
      <c r="C21" s="386"/>
      <c r="D21" s="386"/>
      <c r="E21" s="108">
        <f>E130</f>
        <v>89108.57000000002</v>
      </c>
    </row>
    <row r="22" spans="1:5" ht="12.75">
      <c r="A22" s="387" t="s">
        <v>794</v>
      </c>
      <c r="B22" s="384"/>
      <c r="C22" s="384"/>
      <c r="D22" s="384"/>
      <c r="E22" s="22">
        <v>254070.21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25.5">
      <c r="A25" s="86">
        <v>1</v>
      </c>
      <c r="B25" s="64" t="s">
        <v>1153</v>
      </c>
      <c r="C25" s="80">
        <f>C64</f>
        <v>278232.01</v>
      </c>
      <c r="E25" s="29"/>
    </row>
    <row r="26" spans="1:5" ht="12.75">
      <c r="A26" s="91">
        <v>2</v>
      </c>
      <c r="B26" s="25" t="s">
        <v>344</v>
      </c>
      <c r="C26" s="102">
        <f>C73</f>
        <v>16772</v>
      </c>
      <c r="D26" s="388"/>
      <c r="E26" s="389"/>
    </row>
    <row r="27" spans="1:5" ht="12.75">
      <c r="A27" s="84">
        <v>3</v>
      </c>
      <c r="B27" s="9" t="s">
        <v>649</v>
      </c>
      <c r="C27" s="48">
        <v>1058.57</v>
      </c>
      <c r="E27" s="29"/>
    </row>
    <row r="28" spans="1:5" ht="12.75">
      <c r="A28" s="84">
        <v>4</v>
      </c>
      <c r="B28" s="9" t="s">
        <v>122</v>
      </c>
      <c r="C28" s="48">
        <f>(C8*0.55*12)</f>
        <v>12886.5</v>
      </c>
      <c r="E28" s="29"/>
    </row>
    <row r="29" spans="1:5" ht="12.75">
      <c r="A29" s="84">
        <v>5</v>
      </c>
      <c r="B29" s="9" t="s">
        <v>658</v>
      </c>
      <c r="C29" s="79">
        <v>32224.92</v>
      </c>
      <c r="E29" s="29"/>
    </row>
    <row r="30" spans="1:5" ht="25.5">
      <c r="A30" s="91">
        <v>6</v>
      </c>
      <c r="B30" s="25" t="s">
        <v>1128</v>
      </c>
      <c r="C30" s="96">
        <v>2400</v>
      </c>
      <c r="E30" s="29"/>
    </row>
    <row r="31" spans="1:5" ht="12.75">
      <c r="A31" s="91">
        <v>7</v>
      </c>
      <c r="B31" s="346" t="s">
        <v>26</v>
      </c>
      <c r="C31" s="96">
        <v>600</v>
      </c>
      <c r="E31" s="29"/>
    </row>
    <row r="32" spans="1:5" ht="25.5">
      <c r="A32" s="91">
        <v>8</v>
      </c>
      <c r="B32" s="25" t="s">
        <v>335</v>
      </c>
      <c r="C32" s="96">
        <v>4200</v>
      </c>
      <c r="E32" s="29"/>
    </row>
    <row r="33" spans="1:5" ht="12.75">
      <c r="A33" s="84">
        <v>9</v>
      </c>
      <c r="B33" s="25" t="s">
        <v>1129</v>
      </c>
      <c r="C33" s="79">
        <v>4470.64</v>
      </c>
      <c r="E33" s="29"/>
    </row>
    <row r="34" spans="1:5" ht="12.75">
      <c r="A34" s="84">
        <v>10</v>
      </c>
      <c r="B34" s="25" t="s">
        <v>1149</v>
      </c>
      <c r="C34" s="79">
        <v>14000</v>
      </c>
      <c r="E34" s="29"/>
    </row>
    <row r="35" spans="1:5" ht="12.75">
      <c r="A35" s="91">
        <v>11</v>
      </c>
      <c r="B35" s="25" t="s">
        <v>363</v>
      </c>
      <c r="C35" s="349">
        <v>1426.36</v>
      </c>
      <c r="E35" s="29"/>
    </row>
    <row r="36" spans="1:3" ht="12.75">
      <c r="A36" s="50"/>
      <c r="B36" s="20" t="s">
        <v>629</v>
      </c>
      <c r="C36" s="51">
        <f>SUM(C25:C35)</f>
        <v>368271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(C20)*15%</f>
        <v>69407.208</v>
      </c>
    </row>
    <row r="39" spans="1:3" ht="12.75">
      <c r="A39" s="84">
        <v>2</v>
      </c>
      <c r="B39" s="9" t="s">
        <v>813</v>
      </c>
      <c r="C39" s="48">
        <f>C80</f>
        <v>4228.83345811596</v>
      </c>
    </row>
    <row r="40" spans="1:3" ht="12.75">
      <c r="A40" s="84">
        <v>3</v>
      </c>
      <c r="B40" s="9" t="s">
        <v>653</v>
      </c>
      <c r="C40" s="48">
        <f>C81</f>
        <v>4593.1397380255485</v>
      </c>
    </row>
    <row r="41" spans="1:3" ht="12.75">
      <c r="A41" s="84">
        <v>4</v>
      </c>
      <c r="B41" s="9" t="s">
        <v>1114</v>
      </c>
      <c r="C41" s="52">
        <f>C82</f>
        <v>9324.257312797292</v>
      </c>
    </row>
    <row r="42" spans="1:3" ht="12.75">
      <c r="A42" s="84">
        <v>5</v>
      </c>
      <c r="B42" s="9" t="s">
        <v>162</v>
      </c>
      <c r="C42" s="52">
        <f>C83</f>
        <v>7009.217033554558</v>
      </c>
    </row>
    <row r="43" spans="1:3" ht="12.75">
      <c r="A43" s="84">
        <v>6</v>
      </c>
      <c r="B43" s="9" t="s">
        <v>1051</v>
      </c>
      <c r="C43" s="48">
        <f>C84+C86+C87+C88+C85</f>
        <v>11894.611673917536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106457.26721641088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C20*2%</f>
        <v>9254.2944</v>
      </c>
    </row>
    <row r="51" spans="1:3" ht="12.75">
      <c r="A51" s="84">
        <v>2</v>
      </c>
      <c r="B51" s="9" t="s">
        <v>391</v>
      </c>
      <c r="C51" s="48">
        <f>C52</f>
        <v>27207.625536</v>
      </c>
    </row>
    <row r="52" spans="1:4" ht="12.75">
      <c r="A52" s="49"/>
      <c r="B52" s="5" t="s">
        <v>334</v>
      </c>
      <c r="C52" s="41">
        <f>(C20-C50)*6%</f>
        <v>27207.625536</v>
      </c>
      <c r="D52" s="19"/>
    </row>
    <row r="53" spans="1:3" ht="13.5" thickBot="1">
      <c r="A53" s="54"/>
      <c r="B53" s="55" t="s">
        <v>967</v>
      </c>
      <c r="C53" s="56">
        <f>C50+C51</f>
        <v>36461.919936</v>
      </c>
    </row>
    <row r="54" spans="1:3" ht="12.75">
      <c r="A54" s="23"/>
      <c r="B54" s="4" t="s">
        <v>288</v>
      </c>
      <c r="C54" s="11">
        <f>C36+C48+C53</f>
        <v>511190.1871524109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">
        <v>110060.25</v>
      </c>
    </row>
    <row r="57" spans="1:3" ht="15">
      <c r="A57" s="23"/>
      <c r="B57" s="14" t="s">
        <v>12</v>
      </c>
      <c r="C57" s="11">
        <v>32347.9</v>
      </c>
    </row>
    <row r="58" spans="1:3" ht="15">
      <c r="A58" s="23"/>
      <c r="B58" s="14" t="s">
        <v>180</v>
      </c>
      <c r="C58" s="11">
        <f>C54+C56-C57-C20</f>
        <v>126187.8171524108</v>
      </c>
    </row>
    <row r="59" ht="12.75">
      <c r="B59" s="1" t="s">
        <v>85</v>
      </c>
    </row>
    <row r="60" ht="14.25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815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C8+C9</f>
        <v>2008.7</v>
      </c>
      <c r="E63" t="s">
        <v>116</v>
      </c>
    </row>
    <row r="64" spans="1:5" ht="12.75">
      <c r="A64" s="60" t="s">
        <v>218</v>
      </c>
      <c r="B64" s="39" t="s">
        <v>165</v>
      </c>
      <c r="C64" s="47">
        <v>278232.01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21274.93</v>
      </c>
      <c r="D66" s="15"/>
      <c r="E66" s="15"/>
    </row>
    <row r="67" spans="1:5" ht="12.75">
      <c r="A67" s="62" t="s">
        <v>166</v>
      </c>
      <c r="B67" s="6" t="s">
        <v>1150</v>
      </c>
      <c r="C67" s="41">
        <v>22884.3</v>
      </c>
      <c r="D67" s="15"/>
      <c r="E67" s="15"/>
    </row>
    <row r="68" spans="1:5" ht="12.75">
      <c r="A68" s="62" t="s">
        <v>166</v>
      </c>
      <c r="B68" s="6" t="s">
        <v>1151</v>
      </c>
      <c r="C68" s="41">
        <v>5687</v>
      </c>
      <c r="D68" s="15"/>
      <c r="E68" s="15"/>
    </row>
    <row r="69" spans="1:5" ht="12.75">
      <c r="A69" s="62" t="s">
        <v>166</v>
      </c>
      <c r="B69" s="6" t="s">
        <v>1152</v>
      </c>
      <c r="C69" s="41">
        <v>5047.19</v>
      </c>
      <c r="D69" s="15"/>
      <c r="E69" s="15"/>
    </row>
    <row r="70" spans="1:5" ht="12.75">
      <c r="A70" s="62" t="s">
        <v>166</v>
      </c>
      <c r="B70" s="6" t="s">
        <v>634</v>
      </c>
      <c r="C70" s="41">
        <v>68888.62</v>
      </c>
      <c r="D70" s="15"/>
      <c r="E70" s="15"/>
    </row>
    <row r="71" spans="1:5" ht="12.75">
      <c r="A71" s="62" t="s">
        <v>166</v>
      </c>
      <c r="B71" s="6" t="s">
        <v>1154</v>
      </c>
      <c r="C71" s="41">
        <v>19175.41</v>
      </c>
      <c r="D71" s="15"/>
      <c r="E71" s="15"/>
    </row>
    <row r="72" spans="1:5" ht="13.5" thickBot="1">
      <c r="A72" s="63" t="s">
        <v>166</v>
      </c>
      <c r="B72" s="42" t="s">
        <v>818</v>
      </c>
      <c r="C72" s="46">
        <v>2060.91</v>
      </c>
      <c r="D72" s="15"/>
      <c r="E72" s="15"/>
    </row>
    <row r="73" spans="1:5" ht="12.75">
      <c r="A73" s="60" t="s">
        <v>328</v>
      </c>
      <c r="B73" s="39" t="s">
        <v>343</v>
      </c>
      <c r="C73" s="47">
        <v>16772</v>
      </c>
      <c r="D73" s="15"/>
      <c r="E73" s="12"/>
    </row>
    <row r="74" spans="1:5" ht="12.75">
      <c r="A74" s="61"/>
      <c r="B74" s="6" t="s">
        <v>118</v>
      </c>
      <c r="C74" s="41"/>
      <c r="D74" s="15"/>
      <c r="E74" s="12"/>
    </row>
    <row r="75" spans="1:5" ht="12.75">
      <c r="A75" s="62" t="s">
        <v>166</v>
      </c>
      <c r="B75" s="6" t="s">
        <v>380</v>
      </c>
      <c r="C75" s="41">
        <v>485</v>
      </c>
      <c r="D75" s="15"/>
      <c r="E75" s="12"/>
    </row>
    <row r="76" spans="1:5" ht="12.75">
      <c r="A76" s="62" t="s">
        <v>166</v>
      </c>
      <c r="B76" s="6" t="s">
        <v>1155</v>
      </c>
      <c r="C76" s="41">
        <v>4270.9</v>
      </c>
      <c r="D76" s="15"/>
      <c r="E76" s="12"/>
    </row>
    <row r="77" spans="1:5" ht="13.5" thickBot="1">
      <c r="A77" s="63" t="s">
        <v>166</v>
      </c>
      <c r="B77" s="42" t="s">
        <v>818</v>
      </c>
      <c r="C77" s="46">
        <v>111.64</v>
      </c>
      <c r="D77" s="15"/>
      <c r="E77" s="15"/>
    </row>
    <row r="78" spans="1:5" ht="12.75">
      <c r="A78" s="300" t="s">
        <v>787</v>
      </c>
      <c r="B78" s="97" t="s">
        <v>1050</v>
      </c>
      <c r="C78" s="82">
        <f>C79+C80+C82+C81+C83+C84+C86+C87+C88+C85</f>
        <v>106457.26721641088</v>
      </c>
      <c r="D78" s="15"/>
      <c r="E78" s="12"/>
    </row>
    <row r="79" spans="1:5" ht="13.5" thickBot="1">
      <c r="A79" s="40" t="s">
        <v>166</v>
      </c>
      <c r="B79" s="6" t="s">
        <v>227</v>
      </c>
      <c r="C79" s="41">
        <f>C38</f>
        <v>69407.208</v>
      </c>
      <c r="D79" s="15"/>
      <c r="E79" s="12"/>
    </row>
    <row r="80" spans="1:5" ht="12.75">
      <c r="A80" s="40" t="s">
        <v>166</v>
      </c>
      <c r="B80" s="6" t="s">
        <v>370</v>
      </c>
      <c r="C80" s="317">
        <f>401410.25/185335.63*C8</f>
        <v>4228.83345811596</v>
      </c>
      <c r="D80" s="375" t="s">
        <v>1156</v>
      </c>
      <c r="E80" s="376"/>
    </row>
    <row r="81" spans="1:5" ht="12.75">
      <c r="A81" s="73" t="s">
        <v>166</v>
      </c>
      <c r="B81" s="74" t="s">
        <v>397</v>
      </c>
      <c r="C81" s="317">
        <f>435991.01/185335.63*C8</f>
        <v>4593.1397380255485</v>
      </c>
      <c r="D81" s="377" t="s">
        <v>1157</v>
      </c>
      <c r="E81" s="378"/>
    </row>
    <row r="82" spans="1:5" ht="12.75">
      <c r="A82" s="71" t="s">
        <v>166</v>
      </c>
      <c r="B82" s="72" t="s">
        <v>416</v>
      </c>
      <c r="C82" s="317">
        <f>1082167/226605.83*C8</f>
        <v>9324.257312797292</v>
      </c>
      <c r="D82" s="379" t="s">
        <v>1158</v>
      </c>
      <c r="E82" s="380"/>
    </row>
    <row r="83" spans="1:5" ht="25.5">
      <c r="A83" s="73" t="s">
        <v>166</v>
      </c>
      <c r="B83" s="72" t="s">
        <v>231</v>
      </c>
      <c r="C83" s="318">
        <f>845684.35/242356.05*D63</f>
        <v>7009.217033554558</v>
      </c>
      <c r="D83" s="381" t="s">
        <v>1159</v>
      </c>
      <c r="E83" s="382"/>
    </row>
    <row r="84" spans="1:5" ht="12.75">
      <c r="A84" s="73" t="s">
        <v>166</v>
      </c>
      <c r="B84" s="74" t="s">
        <v>808</v>
      </c>
      <c r="C84" s="318">
        <f>642562.44/242356.05*D63</f>
        <v>5325.698175176563</v>
      </c>
      <c r="D84" s="371" t="s">
        <v>1160</v>
      </c>
      <c r="E84" s="372"/>
    </row>
    <row r="85" spans="1:5" ht="12.75">
      <c r="A85" s="73" t="s">
        <v>166</v>
      </c>
      <c r="B85" s="74" t="s">
        <v>826</v>
      </c>
      <c r="C85" s="318">
        <f>51615/196822.43*D63</f>
        <v>526.7644063738061</v>
      </c>
      <c r="D85" s="371" t="s">
        <v>1161</v>
      </c>
      <c r="E85" s="372"/>
    </row>
    <row r="86" spans="1:5" ht="12.75">
      <c r="A86" s="73" t="s">
        <v>166</v>
      </c>
      <c r="B86" s="74" t="s">
        <v>655</v>
      </c>
      <c r="C86" s="318">
        <f>129011.28/196822.43*D63</f>
        <v>1316.6434239024486</v>
      </c>
      <c r="D86" s="371" t="s">
        <v>1162</v>
      </c>
      <c r="E86" s="372"/>
    </row>
    <row r="87" spans="1:5" ht="12.75">
      <c r="A87" s="73" t="s">
        <v>166</v>
      </c>
      <c r="B87" s="74" t="s">
        <v>656</v>
      </c>
      <c r="C87" s="318">
        <f>164128/196822.43*D63</f>
        <v>1675.032228796281</v>
      </c>
      <c r="D87" s="373" t="s">
        <v>1163</v>
      </c>
      <c r="E87" s="374"/>
    </row>
    <row r="88" spans="1:5" ht="13.5" thickBot="1">
      <c r="A88" s="75" t="s">
        <v>166</v>
      </c>
      <c r="B88" s="76" t="s">
        <v>809</v>
      </c>
      <c r="C88" s="319">
        <f>298900.58/196822.43*D63</f>
        <v>3050.473439668436</v>
      </c>
      <c r="D88" s="369" t="s">
        <v>1164</v>
      </c>
      <c r="E88" s="370"/>
    </row>
    <row r="89" ht="13.5" thickBot="1"/>
    <row r="90" spans="2:5" ht="24.75" thickBot="1">
      <c r="B90" s="143"/>
      <c r="C90" s="205" t="s">
        <v>104</v>
      </c>
      <c r="D90" s="236" t="s">
        <v>306</v>
      </c>
      <c r="E90" s="130" t="s">
        <v>305</v>
      </c>
    </row>
    <row r="91" spans="2:5" ht="13.5" thickBot="1">
      <c r="B91" s="363" t="s">
        <v>413</v>
      </c>
      <c r="C91" s="364"/>
      <c r="D91" s="364"/>
      <c r="E91" s="365"/>
    </row>
    <row r="92" spans="2:5" ht="12.75">
      <c r="B92" s="140" t="s">
        <v>285</v>
      </c>
      <c r="C92" s="212">
        <v>168244.82</v>
      </c>
      <c r="D92" s="223">
        <v>190857.17</v>
      </c>
      <c r="E92" s="213">
        <f>D92-C92</f>
        <v>22612.350000000006</v>
      </c>
    </row>
    <row r="93" spans="2:5" ht="12.75">
      <c r="B93" s="115" t="s">
        <v>637</v>
      </c>
      <c r="C93" s="18">
        <v>77612.43</v>
      </c>
      <c r="D93" s="18">
        <v>92817.41</v>
      </c>
      <c r="E93" s="214">
        <f>D93-C93</f>
        <v>15204.98000000001</v>
      </c>
    </row>
    <row r="94" spans="2:5" ht="12.75">
      <c r="B94" s="115" t="s">
        <v>408</v>
      </c>
      <c r="C94" s="18">
        <v>10036.35</v>
      </c>
      <c r="D94" s="18">
        <v>12051.6</v>
      </c>
      <c r="E94" s="214">
        <f>D94-C94</f>
        <v>2015.25</v>
      </c>
    </row>
    <row r="95" spans="2:5" ht="26.25" thickBot="1">
      <c r="B95" s="266" t="s">
        <v>1046</v>
      </c>
      <c r="C95" s="267">
        <v>2500</v>
      </c>
      <c r="D95" s="267">
        <v>2500</v>
      </c>
      <c r="E95" s="228">
        <f>D95-C95</f>
        <v>0</v>
      </c>
    </row>
    <row r="96" spans="2:5" ht="13.5" thickBot="1">
      <c r="B96" s="124"/>
      <c r="C96" s="283">
        <f>SUM(C92:C95)</f>
        <v>258393.6</v>
      </c>
      <c r="D96" s="283">
        <f>SUM(D92:D95)</f>
        <v>298226.18</v>
      </c>
      <c r="E96" s="137">
        <f>SUM(E92:E95)</f>
        <v>39832.580000000016</v>
      </c>
    </row>
    <row r="97" spans="2:5" ht="13.5" thickBot="1">
      <c r="B97" s="363" t="s">
        <v>412</v>
      </c>
      <c r="C97" s="364"/>
      <c r="D97" s="364"/>
      <c r="E97" s="365"/>
    </row>
    <row r="98" spans="2:5" ht="12.75">
      <c r="B98" s="140" t="s">
        <v>285</v>
      </c>
      <c r="C98" s="212">
        <v>192534.97</v>
      </c>
      <c r="D98" s="223">
        <v>203900.16</v>
      </c>
      <c r="E98" s="242">
        <f>D98-C98</f>
        <v>11365.190000000002</v>
      </c>
    </row>
    <row r="99" spans="2:5" ht="12.75">
      <c r="B99" s="115" t="s">
        <v>637</v>
      </c>
      <c r="C99" s="18">
        <v>93535.6</v>
      </c>
      <c r="D99" s="18">
        <v>99137.66</v>
      </c>
      <c r="E99" s="57">
        <f>D99-C99</f>
        <v>5602.059999999998</v>
      </c>
    </row>
    <row r="100" spans="2:5" ht="12.75">
      <c r="B100" s="115" t="s">
        <v>408</v>
      </c>
      <c r="C100" s="18">
        <v>32361.19</v>
      </c>
      <c r="D100" s="18">
        <v>34373.9</v>
      </c>
      <c r="E100" s="128">
        <f>D100-C100</f>
        <v>2012.7100000000028</v>
      </c>
    </row>
    <row r="101" spans="2:5" ht="13.5" thickBot="1">
      <c r="B101" s="157" t="s">
        <v>805</v>
      </c>
      <c r="C101" s="263">
        <v>0</v>
      </c>
      <c r="D101" s="284">
        <v>2180.01</v>
      </c>
      <c r="E101" s="222">
        <f>D101-C101</f>
        <v>2180.01</v>
      </c>
    </row>
    <row r="102" spans="2:5" ht="13.5" thickBot="1">
      <c r="B102" s="187"/>
      <c r="C102" s="282">
        <f>SUM(C98:C101)</f>
        <v>318431.76</v>
      </c>
      <c r="D102" s="282">
        <f>SUM(D98:D101)</f>
        <v>339591.73000000004</v>
      </c>
      <c r="E102" s="282">
        <f>SUM(E98:E101)</f>
        <v>21159.97</v>
      </c>
    </row>
    <row r="103" spans="2:5" ht="13.5" thickBot="1">
      <c r="B103" s="363" t="s">
        <v>6</v>
      </c>
      <c r="C103" s="364"/>
      <c r="D103" s="364"/>
      <c r="E103" s="365"/>
    </row>
    <row r="104" spans="2:5" ht="12.75">
      <c r="B104" s="140" t="s">
        <v>285</v>
      </c>
      <c r="C104" s="212">
        <v>206593.89</v>
      </c>
      <c r="D104" s="223">
        <v>214872.63</v>
      </c>
      <c r="E104" s="242">
        <f>D104-C104</f>
        <v>8278.73999999999</v>
      </c>
    </row>
    <row r="105" spans="2:5" ht="12.75">
      <c r="B105" s="115" t="s">
        <v>637</v>
      </c>
      <c r="C105" s="18">
        <v>97491.84</v>
      </c>
      <c r="D105" s="18">
        <v>104478.28</v>
      </c>
      <c r="E105" s="57">
        <f>D105-C105</f>
        <v>6986.440000000002</v>
      </c>
    </row>
    <row r="106" spans="2:5" ht="12.75">
      <c r="B106" s="115" t="s">
        <v>408</v>
      </c>
      <c r="C106" s="18">
        <v>35389.21</v>
      </c>
      <c r="D106" s="18">
        <v>37097.5</v>
      </c>
      <c r="E106" s="57">
        <f>D106-C106</f>
        <v>1708.2900000000009</v>
      </c>
    </row>
    <row r="107" spans="2:5" ht="12.75">
      <c r="B107" s="115" t="s">
        <v>805</v>
      </c>
      <c r="C107" s="28">
        <v>17119.66</v>
      </c>
      <c r="D107" s="28">
        <v>9192.09</v>
      </c>
      <c r="E107" s="57">
        <f>D107-C107</f>
        <v>-7927.57</v>
      </c>
    </row>
    <row r="108" spans="2:5" ht="13.5" thickBot="1">
      <c r="B108" s="157" t="s">
        <v>1200</v>
      </c>
      <c r="C108" s="224">
        <v>7976.81</v>
      </c>
      <c r="D108" s="224">
        <v>7976.81</v>
      </c>
      <c r="E108" s="219">
        <v>0</v>
      </c>
    </row>
    <row r="109" spans="2:5" ht="13.5" thickBot="1">
      <c r="B109" s="187"/>
      <c r="C109" s="282">
        <f>SUM(C104:C108)</f>
        <v>364571.41</v>
      </c>
      <c r="D109" s="282">
        <f>SUM(D104:D108)</f>
        <v>373617.31000000006</v>
      </c>
      <c r="E109" s="282">
        <f>SUM(E104:E108)</f>
        <v>9045.899999999994</v>
      </c>
    </row>
    <row r="110" spans="2:5" ht="13.5" thickBot="1">
      <c r="B110" s="363" t="s">
        <v>437</v>
      </c>
      <c r="C110" s="364"/>
      <c r="D110" s="364"/>
      <c r="E110" s="365"/>
    </row>
    <row r="111" spans="2:5" ht="12.75">
      <c r="B111" s="140" t="s">
        <v>285</v>
      </c>
      <c r="C111" s="234">
        <v>142674.6</v>
      </c>
      <c r="D111" s="218">
        <v>134351.63</v>
      </c>
      <c r="E111" s="253">
        <f aca="true" t="shared" si="1" ref="E111:E117">D111-C111</f>
        <v>-8322.970000000001</v>
      </c>
    </row>
    <row r="112" spans="2:5" ht="12.75">
      <c r="B112" s="115" t="s">
        <v>637</v>
      </c>
      <c r="C112" s="10">
        <v>69554.19</v>
      </c>
      <c r="D112" s="99">
        <v>65330.58</v>
      </c>
      <c r="E112" s="53">
        <f t="shared" si="1"/>
        <v>-4223.610000000001</v>
      </c>
    </row>
    <row r="113" spans="2:5" ht="12.75">
      <c r="B113" s="220" t="s">
        <v>633</v>
      </c>
      <c r="C113" s="125">
        <v>24522.03</v>
      </c>
      <c r="D113" s="125">
        <v>23234.75</v>
      </c>
      <c r="E113" s="81">
        <f t="shared" si="1"/>
        <v>-1287.2799999999988</v>
      </c>
    </row>
    <row r="114" spans="2:5" ht="12.75">
      <c r="B114" s="220" t="s">
        <v>811</v>
      </c>
      <c r="C114" s="125">
        <v>4526.53</v>
      </c>
      <c r="D114" s="125">
        <v>9963.34</v>
      </c>
      <c r="E114" s="81">
        <f t="shared" si="1"/>
        <v>5436.81</v>
      </c>
    </row>
    <row r="115" spans="2:5" ht="12.75">
      <c r="B115" s="269" t="s">
        <v>415</v>
      </c>
      <c r="C115" s="107">
        <v>4603.17</v>
      </c>
      <c r="D115" s="107">
        <v>4759.5</v>
      </c>
      <c r="E115" s="81">
        <f t="shared" si="1"/>
        <v>156.32999999999993</v>
      </c>
    </row>
    <row r="116" spans="2:5" ht="12.75">
      <c r="B116" s="269" t="s">
        <v>1061</v>
      </c>
      <c r="C116" s="107">
        <v>1500</v>
      </c>
      <c r="D116" s="107">
        <v>2000</v>
      </c>
      <c r="E116" s="81">
        <f t="shared" si="1"/>
        <v>500</v>
      </c>
    </row>
    <row r="117" spans="2:5" ht="13.5" thickBot="1">
      <c r="B117" s="157" t="s">
        <v>232</v>
      </c>
      <c r="C117" s="142">
        <v>11868.39</v>
      </c>
      <c r="D117" s="142">
        <v>7762.99</v>
      </c>
      <c r="E117" s="85">
        <f t="shared" si="1"/>
        <v>-4105.4</v>
      </c>
    </row>
    <row r="118" spans="2:5" ht="13.5" thickBot="1">
      <c r="B118" s="153"/>
      <c r="C118" s="286">
        <f>SUM(C111:C117)</f>
        <v>259248.91000000003</v>
      </c>
      <c r="D118" s="286">
        <f>SUM(D111:D117)</f>
        <v>247402.79</v>
      </c>
      <c r="E118" s="158">
        <f>SUM(E111:E117)</f>
        <v>-11846.119999999999</v>
      </c>
    </row>
    <row r="119" spans="2:5" ht="13.5" thickBot="1">
      <c r="B119" s="363" t="s">
        <v>87</v>
      </c>
      <c r="C119" s="364"/>
      <c r="D119" s="364"/>
      <c r="E119" s="365"/>
    </row>
    <row r="120" spans="2:5" ht="12.75">
      <c r="B120" s="140" t="s">
        <v>285</v>
      </c>
      <c r="C120" s="234">
        <v>222751.81</v>
      </c>
      <c r="D120" s="155">
        <v>241802.41</v>
      </c>
      <c r="E120" s="253">
        <f aca="true" t="shared" si="2" ref="E120:E127">D120-C120</f>
        <v>19050.600000000006</v>
      </c>
    </row>
    <row r="121" spans="2:5" ht="12.75">
      <c r="B121" s="115" t="s">
        <v>637</v>
      </c>
      <c r="C121" s="10">
        <v>109104.37</v>
      </c>
      <c r="D121" s="34">
        <v>118673.7</v>
      </c>
      <c r="E121" s="275">
        <f t="shared" si="2"/>
        <v>9569.330000000002</v>
      </c>
    </row>
    <row r="122" spans="2:5" ht="12.75">
      <c r="B122" s="115" t="s">
        <v>633</v>
      </c>
      <c r="C122" s="67">
        <v>38715.01</v>
      </c>
      <c r="D122" s="83">
        <v>42174</v>
      </c>
      <c r="E122" s="275">
        <f t="shared" si="2"/>
        <v>3458.989999999998</v>
      </c>
    </row>
    <row r="123" spans="2:5" ht="12.75">
      <c r="B123" s="116" t="s">
        <v>364</v>
      </c>
      <c r="C123" s="94">
        <v>61496.68</v>
      </c>
      <c r="D123" s="83">
        <v>64481.72</v>
      </c>
      <c r="E123" s="275">
        <f t="shared" si="2"/>
        <v>2985.040000000001</v>
      </c>
    </row>
    <row r="124" spans="2:5" ht="12.75" customHeight="1">
      <c r="B124" s="352" t="s">
        <v>1007</v>
      </c>
      <c r="C124" s="258">
        <v>5938.34</v>
      </c>
      <c r="D124" s="258">
        <v>5938.34</v>
      </c>
      <c r="E124" s="275">
        <f t="shared" si="2"/>
        <v>0</v>
      </c>
    </row>
    <row r="125" spans="2:5" ht="12.75">
      <c r="B125" s="116" t="s">
        <v>29</v>
      </c>
      <c r="C125" s="94">
        <f>2400+3600</f>
        <v>6000</v>
      </c>
      <c r="D125" s="83">
        <f>2400+3300</f>
        <v>5700</v>
      </c>
      <c r="E125" s="275">
        <f t="shared" si="2"/>
        <v>-300</v>
      </c>
    </row>
    <row r="126" spans="2:5" ht="12.75">
      <c r="B126" s="269" t="s">
        <v>415</v>
      </c>
      <c r="C126" s="122">
        <v>1956.93</v>
      </c>
      <c r="D126" s="122">
        <v>2256.25</v>
      </c>
      <c r="E126" s="275">
        <f t="shared" si="2"/>
        <v>299.31999999999994</v>
      </c>
    </row>
    <row r="127" spans="2:5" ht="13.5" thickBot="1">
      <c r="B127" s="157" t="s">
        <v>805</v>
      </c>
      <c r="C127" s="225">
        <v>16751.58</v>
      </c>
      <c r="D127" s="226">
        <v>12604.54</v>
      </c>
      <c r="E127" s="85">
        <f t="shared" si="2"/>
        <v>-4147.040000000001</v>
      </c>
    </row>
    <row r="128" spans="2:5" ht="13.5" thickBot="1">
      <c r="B128" s="187"/>
      <c r="C128" s="254">
        <f>SUM(C120:C127)</f>
        <v>462714.72000000003</v>
      </c>
      <c r="D128" s="255">
        <f>SUM(D120:D127)</f>
        <v>493630.95999999996</v>
      </c>
      <c r="E128" s="256">
        <f>SUM(E120:E127)</f>
        <v>30916.240000000005</v>
      </c>
    </row>
    <row r="129" spans="2:5" ht="13.5" thickBot="1">
      <c r="B129" s="366" t="s">
        <v>379</v>
      </c>
      <c r="C129" s="367"/>
      <c r="D129" s="367"/>
      <c r="E129" s="368"/>
    </row>
    <row r="130" spans="2:5" ht="13.5" thickBot="1">
      <c r="B130" s="153"/>
      <c r="C130" s="175">
        <f>C96+C102+C109+C118+C128</f>
        <v>1663360.4000000001</v>
      </c>
      <c r="D130" s="175">
        <f>D96+D102+D109+D118+D128</f>
        <v>1752468.97</v>
      </c>
      <c r="E130" s="175">
        <f>E96+E102+E109+E118+E128</f>
        <v>89108.57000000002</v>
      </c>
    </row>
  </sheetData>
  <sheetProtection/>
  <mergeCells count="23">
    <mergeCell ref="A6:E6"/>
    <mergeCell ref="A21:D21"/>
    <mergeCell ref="A22:D22"/>
    <mergeCell ref="D26:E26"/>
    <mergeCell ref="A2:B2"/>
    <mergeCell ref="C2:E2"/>
    <mergeCell ref="C3:E3"/>
    <mergeCell ref="B4:E4"/>
    <mergeCell ref="D84:E84"/>
    <mergeCell ref="D85:E85"/>
    <mergeCell ref="D86:E86"/>
    <mergeCell ref="D87:E87"/>
    <mergeCell ref="D80:E80"/>
    <mergeCell ref="D81:E81"/>
    <mergeCell ref="D82:E82"/>
    <mergeCell ref="D83:E83"/>
    <mergeCell ref="B110:E110"/>
    <mergeCell ref="B129:E129"/>
    <mergeCell ref="B119:E119"/>
    <mergeCell ref="D88:E88"/>
    <mergeCell ref="B91:E91"/>
    <mergeCell ref="B97:E97"/>
    <mergeCell ref="B103:E103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7.375" style="0" customWidth="1"/>
    <col min="3" max="3" width="10.25390625" style="0" customWidth="1"/>
    <col min="4" max="4" width="12.25390625" style="0" customWidth="1"/>
    <col min="5" max="5" width="13.3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8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646</v>
      </c>
      <c r="C7" s="26"/>
      <c r="D7" s="24"/>
    </row>
    <row r="8" spans="1:4" ht="15">
      <c r="A8" s="26"/>
      <c r="B8" s="27" t="s">
        <v>115</v>
      </c>
      <c r="C8" s="38">
        <v>2676.5</v>
      </c>
      <c r="D8" s="92" t="s">
        <v>116</v>
      </c>
    </row>
    <row r="9" spans="1:4" ht="15">
      <c r="A9" s="26"/>
      <c r="B9" s="27" t="s">
        <v>654</v>
      </c>
      <c r="C9" s="93">
        <v>78.5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v>313042.26</v>
      </c>
      <c r="D12" s="218">
        <v>332201.87</v>
      </c>
      <c r="E12" s="242">
        <f aca="true" t="shared" si="0" ref="E12:E18">D12-C12</f>
        <v>19159.609999999986</v>
      </c>
    </row>
    <row r="13" spans="1:5" ht="12.75">
      <c r="A13" s="84">
        <v>2</v>
      </c>
      <c r="B13" s="5" t="s">
        <v>637</v>
      </c>
      <c r="C13" s="10">
        <v>152722.5</v>
      </c>
      <c r="D13" s="98">
        <v>162678.24</v>
      </c>
      <c r="E13" s="57">
        <f t="shared" si="0"/>
        <v>9955.73999999999</v>
      </c>
    </row>
    <row r="14" spans="1:5" ht="12.75">
      <c r="A14" s="84">
        <v>3</v>
      </c>
      <c r="B14" s="5" t="s">
        <v>364</v>
      </c>
      <c r="C14" s="10">
        <v>42116.22</v>
      </c>
      <c r="D14" s="98">
        <v>35008.68</v>
      </c>
      <c r="E14" s="57">
        <f t="shared" si="0"/>
        <v>-7107.540000000001</v>
      </c>
    </row>
    <row r="15" spans="1:5" ht="12.75">
      <c r="A15" s="84">
        <v>4</v>
      </c>
      <c r="B15" s="5" t="s">
        <v>1004</v>
      </c>
      <c r="C15" s="10">
        <v>22763.77</v>
      </c>
      <c r="D15" s="98">
        <v>24426.26</v>
      </c>
      <c r="E15" s="57">
        <f t="shared" si="0"/>
        <v>1662.489999999998</v>
      </c>
    </row>
    <row r="16" spans="1:5" ht="12.75">
      <c r="A16" s="84">
        <v>5</v>
      </c>
      <c r="B16" s="5" t="s">
        <v>29</v>
      </c>
      <c r="C16" s="10">
        <v>8520</v>
      </c>
      <c r="D16" s="98">
        <v>8520</v>
      </c>
      <c r="E16" s="57">
        <f t="shared" si="0"/>
        <v>0</v>
      </c>
    </row>
    <row r="17" spans="1:5" ht="12.75" customHeight="1">
      <c r="A17" s="87">
        <v>6</v>
      </c>
      <c r="B17" s="351" t="s">
        <v>1007</v>
      </c>
      <c r="C17" s="258">
        <v>2093.39</v>
      </c>
      <c r="D17" s="258">
        <v>2093.39</v>
      </c>
      <c r="E17" s="66">
        <f t="shared" si="0"/>
        <v>0</v>
      </c>
    </row>
    <row r="18" spans="1:5" ht="13.5" thickBot="1">
      <c r="A18" s="261">
        <v>7</v>
      </c>
      <c r="B18" s="95" t="s">
        <v>805</v>
      </c>
      <c r="C18" s="225">
        <f>22545.28+14235.22</f>
        <v>36780.5</v>
      </c>
      <c r="D18" s="227">
        <v>16649.89</v>
      </c>
      <c r="E18" s="222">
        <f t="shared" si="0"/>
        <v>-20130.61</v>
      </c>
    </row>
    <row r="19" spans="1:5" ht="13.5" thickBot="1">
      <c r="A19" s="250"/>
      <c r="B19" s="251"/>
      <c r="C19" s="118">
        <f>SUM(C12:C18)</f>
        <v>578038.64</v>
      </c>
      <c r="D19" s="118">
        <f>SUM(D12:D18)</f>
        <v>581578.3300000001</v>
      </c>
      <c r="E19" s="137">
        <f>SUM(E12:E18)</f>
        <v>3539.689999999973</v>
      </c>
    </row>
    <row r="20" spans="1:5" ht="12.75">
      <c r="A20" s="385" t="s">
        <v>793</v>
      </c>
      <c r="B20" s="386"/>
      <c r="C20" s="386"/>
      <c r="D20" s="386"/>
      <c r="E20" s="108">
        <f>E118</f>
        <v>101531.59999999999</v>
      </c>
    </row>
    <row r="21" spans="1:5" ht="12.75">
      <c r="A21" s="387" t="s">
        <v>794</v>
      </c>
      <c r="B21" s="384"/>
      <c r="C21" s="384"/>
      <c r="D21" s="384"/>
      <c r="E21" s="259">
        <v>162816.6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1095</v>
      </c>
      <c r="C24" s="80">
        <f>C62</f>
        <v>171036.28</v>
      </c>
      <c r="E24" s="29"/>
    </row>
    <row r="25" spans="1:5" ht="12.75">
      <c r="A25" s="91">
        <v>2</v>
      </c>
      <c r="B25" s="25" t="s">
        <v>344</v>
      </c>
      <c r="C25" s="102">
        <f>C66</f>
        <v>10236.63</v>
      </c>
      <c r="D25" s="388"/>
      <c r="E25" s="389"/>
    </row>
    <row r="26" spans="1:5" ht="12.75">
      <c r="A26" s="84">
        <v>3</v>
      </c>
      <c r="B26" s="9" t="s">
        <v>649</v>
      </c>
      <c r="C26" s="48">
        <v>12299.52</v>
      </c>
      <c r="E26" s="29"/>
    </row>
    <row r="27" spans="1:5" ht="12.75">
      <c r="A27" s="84">
        <v>4</v>
      </c>
      <c r="B27" s="9" t="s">
        <v>122</v>
      </c>
      <c r="C27" s="48">
        <f>(C8*0.55*12)</f>
        <v>17664.9</v>
      </c>
      <c r="E27" s="29"/>
    </row>
    <row r="28" spans="1:5" ht="12.75">
      <c r="A28" s="84">
        <v>5</v>
      </c>
      <c r="B28" s="9" t="s">
        <v>658</v>
      </c>
      <c r="C28" s="79">
        <v>32224.92</v>
      </c>
      <c r="E28" s="29"/>
    </row>
    <row r="29" spans="1:5" ht="12.75">
      <c r="A29" s="91">
        <v>6</v>
      </c>
      <c r="B29" s="25" t="s">
        <v>1006</v>
      </c>
      <c r="C29" s="96">
        <v>23449.1</v>
      </c>
      <c r="E29" s="29"/>
    </row>
    <row r="30" spans="1:5" ht="12.75">
      <c r="A30" s="91">
        <v>7</v>
      </c>
      <c r="B30" s="25" t="s">
        <v>61</v>
      </c>
      <c r="C30" s="96">
        <v>2400</v>
      </c>
      <c r="E30" s="29"/>
    </row>
    <row r="31" spans="1:5" ht="12.75">
      <c r="A31" s="91">
        <v>8</v>
      </c>
      <c r="B31" s="346" t="s">
        <v>26</v>
      </c>
      <c r="C31" s="96">
        <v>600</v>
      </c>
      <c r="E31" s="29"/>
    </row>
    <row r="32" spans="1:5" ht="25.5">
      <c r="A32" s="91">
        <v>9</v>
      </c>
      <c r="B32" s="25" t="s">
        <v>60</v>
      </c>
      <c r="C32" s="96">
        <v>-2300</v>
      </c>
      <c r="E32" s="29"/>
    </row>
    <row r="33" spans="1:5" ht="38.25">
      <c r="A33" s="91">
        <v>10</v>
      </c>
      <c r="B33" s="25" t="s">
        <v>1005</v>
      </c>
      <c r="C33" s="349">
        <v>2600.83</v>
      </c>
      <c r="E33" s="29"/>
    </row>
    <row r="34" spans="1:5" ht="25.5">
      <c r="A34" s="91">
        <v>11</v>
      </c>
      <c r="B34" s="25" t="s">
        <v>327</v>
      </c>
      <c r="C34" s="96">
        <v>2794.15</v>
      </c>
      <c r="E34" s="29"/>
    </row>
    <row r="35" spans="1:3" ht="12.75">
      <c r="A35" s="50"/>
      <c r="B35" s="20" t="s">
        <v>629</v>
      </c>
      <c r="C35" s="51">
        <f>SUM(C24:C34)</f>
        <v>273006.33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(C19)*15%</f>
        <v>86705.796</v>
      </c>
    </row>
    <row r="38" spans="1:3" ht="12.75">
      <c r="A38" s="84">
        <v>2</v>
      </c>
      <c r="B38" s="9" t="s">
        <v>813</v>
      </c>
      <c r="C38" s="48">
        <f>C72</f>
        <v>5796.913060510815</v>
      </c>
    </row>
    <row r="39" spans="1:3" ht="12.75">
      <c r="A39" s="84">
        <v>3</v>
      </c>
      <c r="B39" s="9" t="s">
        <v>653</v>
      </c>
      <c r="C39" s="48">
        <f>C73</f>
        <v>6296.306534609669</v>
      </c>
    </row>
    <row r="40" spans="1:3" ht="12.75">
      <c r="A40" s="84">
        <v>4</v>
      </c>
      <c r="B40" s="9" t="s">
        <v>1114</v>
      </c>
      <c r="C40" s="52">
        <f>C74</f>
        <v>12781.754006505482</v>
      </c>
    </row>
    <row r="41" spans="1:3" ht="12.75">
      <c r="A41" s="84">
        <v>5</v>
      </c>
      <c r="B41" s="9" t="s">
        <v>162</v>
      </c>
      <c r="C41" s="52">
        <f>C75</f>
        <v>9613.378268254497</v>
      </c>
    </row>
    <row r="42" spans="1:3" ht="12.75">
      <c r="A42" s="84">
        <v>6</v>
      </c>
      <c r="B42" s="9" t="s">
        <v>1051</v>
      </c>
      <c r="C42" s="48">
        <f>C76+C78+C79+C80+C77</f>
        <v>16313.862279903822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137508.0101497843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C19*2%</f>
        <v>11560.7728</v>
      </c>
    </row>
    <row r="50" spans="1:3" ht="12.75">
      <c r="A50" s="84">
        <v>2</v>
      </c>
      <c r="B50" s="9" t="s">
        <v>391</v>
      </c>
      <c r="C50" s="48">
        <f>C51</f>
        <v>33988.672031999995</v>
      </c>
    </row>
    <row r="51" spans="1:4" ht="12.75">
      <c r="A51" s="49"/>
      <c r="B51" s="5" t="s">
        <v>334</v>
      </c>
      <c r="C51" s="41">
        <f>(C19-C49)*6%</f>
        <v>33988.672031999995</v>
      </c>
      <c r="D51" s="19"/>
    </row>
    <row r="52" spans="1:3" ht="13.5" thickBot="1">
      <c r="A52" s="54"/>
      <c r="B52" s="55" t="s">
        <v>967</v>
      </c>
      <c r="C52" s="56">
        <f>C49+C50</f>
        <v>45549.444831999994</v>
      </c>
    </row>
    <row r="53" spans="1:3" ht="12.75">
      <c r="A53" s="23"/>
      <c r="B53" s="4" t="s">
        <v>288</v>
      </c>
      <c r="C53" s="11">
        <f>C35+C47+C52</f>
        <v>456063.78498178435</v>
      </c>
    </row>
    <row r="54" spans="1:3" ht="12.75">
      <c r="A54" s="23"/>
      <c r="B54" s="77"/>
      <c r="C54" s="1"/>
    </row>
    <row r="55" spans="1:3" ht="15">
      <c r="A55" s="23"/>
      <c r="B55" s="14" t="s">
        <v>812</v>
      </c>
      <c r="C55" s="1">
        <v>219248.23</v>
      </c>
    </row>
    <row r="56" spans="1:3" ht="15">
      <c r="A56" s="23"/>
      <c r="B56" s="14" t="s">
        <v>180</v>
      </c>
      <c r="C56" s="11">
        <f>C53+C55-C19</f>
        <v>97273.37498178438</v>
      </c>
    </row>
    <row r="57" ht="12.75">
      <c r="B57" s="1" t="s">
        <v>85</v>
      </c>
    </row>
    <row r="58" ht="17.2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988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C8+C9</f>
        <v>2755</v>
      </c>
      <c r="E61" t="s">
        <v>116</v>
      </c>
    </row>
    <row r="62" spans="1:5" ht="12.75">
      <c r="A62" s="60" t="s">
        <v>218</v>
      </c>
      <c r="B62" s="39" t="s">
        <v>797</v>
      </c>
      <c r="C62" s="47">
        <v>171036.28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11894.61</v>
      </c>
      <c r="D64" s="15"/>
      <c r="E64" s="15"/>
    </row>
    <row r="65" spans="1:5" ht="13.5" thickBot="1">
      <c r="A65" s="63" t="s">
        <v>166</v>
      </c>
      <c r="B65" s="42" t="s">
        <v>818</v>
      </c>
      <c r="C65" s="46">
        <v>3963.56</v>
      </c>
      <c r="D65" s="15"/>
      <c r="E65" s="15"/>
    </row>
    <row r="66" spans="1:5" ht="12.75">
      <c r="A66" s="300" t="s">
        <v>328</v>
      </c>
      <c r="B66" s="97" t="s">
        <v>343</v>
      </c>
      <c r="C66" s="82">
        <v>10236.63</v>
      </c>
      <c r="D66" s="15"/>
      <c r="E66" s="12"/>
    </row>
    <row r="67" spans="1:5" ht="12.75">
      <c r="A67" s="61"/>
      <c r="B67" s="6" t="s">
        <v>118</v>
      </c>
      <c r="C67" s="41"/>
      <c r="D67" s="15"/>
      <c r="E67" s="12"/>
    </row>
    <row r="68" spans="1:5" ht="12.75">
      <c r="A68" s="62" t="s">
        <v>166</v>
      </c>
      <c r="B68" s="6" t="s">
        <v>380</v>
      </c>
      <c r="C68" s="41">
        <v>1192</v>
      </c>
      <c r="D68" s="15"/>
      <c r="E68" s="12"/>
    </row>
    <row r="69" spans="1:5" ht="13.5" thickBot="1">
      <c r="A69" s="63" t="s">
        <v>166</v>
      </c>
      <c r="B69" s="42" t="s">
        <v>818</v>
      </c>
      <c r="C69" s="46">
        <v>153.04</v>
      </c>
      <c r="D69" s="15"/>
      <c r="E69" s="15"/>
    </row>
    <row r="70" spans="1:5" ht="12.75">
      <c r="A70" s="300" t="s">
        <v>787</v>
      </c>
      <c r="B70" s="97" t="s">
        <v>1050</v>
      </c>
      <c r="C70" s="82">
        <f>C71+C72+C74+C73+C75+C76+C78+C79+C80+C77</f>
        <v>137508.0101497843</v>
      </c>
      <c r="D70" s="15"/>
      <c r="E70" s="12"/>
    </row>
    <row r="71" spans="1:5" ht="13.5" thickBot="1">
      <c r="A71" s="40" t="s">
        <v>166</v>
      </c>
      <c r="B71" s="6" t="s">
        <v>227</v>
      </c>
      <c r="C71" s="41">
        <f>C37</f>
        <v>86705.796</v>
      </c>
      <c r="D71" s="15"/>
      <c r="E71" s="12"/>
    </row>
    <row r="72" spans="1:5" ht="12.75">
      <c r="A72" s="40" t="s">
        <v>166</v>
      </c>
      <c r="B72" s="6" t="s">
        <v>370</v>
      </c>
      <c r="C72" s="317">
        <f>401410.25/185335.63*C8</f>
        <v>5796.913060510815</v>
      </c>
      <c r="D72" s="375" t="s">
        <v>995</v>
      </c>
      <c r="E72" s="376"/>
    </row>
    <row r="73" spans="1:5" ht="12.75">
      <c r="A73" s="73" t="s">
        <v>166</v>
      </c>
      <c r="B73" s="74" t="s">
        <v>397</v>
      </c>
      <c r="C73" s="317">
        <f>435991.01/185335.63*C8</f>
        <v>6296.306534609669</v>
      </c>
      <c r="D73" s="377" t="s">
        <v>996</v>
      </c>
      <c r="E73" s="378"/>
    </row>
    <row r="74" spans="1:5" ht="12.75">
      <c r="A74" s="71" t="s">
        <v>166</v>
      </c>
      <c r="B74" s="72" t="s">
        <v>416</v>
      </c>
      <c r="C74" s="317">
        <f>1082167/226605.83*C8</f>
        <v>12781.754006505482</v>
      </c>
      <c r="D74" s="379" t="s">
        <v>997</v>
      </c>
      <c r="E74" s="380"/>
    </row>
    <row r="75" spans="1:5" ht="25.5">
      <c r="A75" s="73" t="s">
        <v>166</v>
      </c>
      <c r="B75" s="72" t="s">
        <v>231</v>
      </c>
      <c r="C75" s="318">
        <f>845684.35/242356.05*D61</f>
        <v>9613.378268254497</v>
      </c>
      <c r="D75" s="381" t="s">
        <v>998</v>
      </c>
      <c r="E75" s="382"/>
    </row>
    <row r="76" spans="1:5" ht="12.75">
      <c r="A76" s="73" t="s">
        <v>166</v>
      </c>
      <c r="B76" s="74" t="s">
        <v>808</v>
      </c>
      <c r="C76" s="318">
        <f>642562.44/242356.05*D61</f>
        <v>7304.375204167586</v>
      </c>
      <c r="D76" s="371" t="s">
        <v>999</v>
      </c>
      <c r="E76" s="372"/>
    </row>
    <row r="77" spans="1:5" ht="12.75">
      <c r="A77" s="73" t="s">
        <v>166</v>
      </c>
      <c r="B77" s="74" t="s">
        <v>826</v>
      </c>
      <c r="C77" s="318">
        <f>51615/196822.43*D61</f>
        <v>722.4752026483974</v>
      </c>
      <c r="D77" s="371" t="s">
        <v>1000</v>
      </c>
      <c r="E77" s="372"/>
    </row>
    <row r="78" spans="1:5" ht="12.75">
      <c r="A78" s="73" t="s">
        <v>166</v>
      </c>
      <c r="B78" s="74" t="s">
        <v>655</v>
      </c>
      <c r="C78" s="318">
        <f>129011.28/196822.43*D61</f>
        <v>1805.820995096951</v>
      </c>
      <c r="D78" s="371" t="s">
        <v>1001</v>
      </c>
      <c r="E78" s="372"/>
    </row>
    <row r="79" spans="1:5" ht="12.75">
      <c r="A79" s="73" t="s">
        <v>166</v>
      </c>
      <c r="B79" s="74" t="s">
        <v>656</v>
      </c>
      <c r="C79" s="318">
        <f>164128/196822.43*D61</f>
        <v>2297.3633645311666</v>
      </c>
      <c r="D79" s="373" t="s">
        <v>1002</v>
      </c>
      <c r="E79" s="374"/>
    </row>
    <row r="80" spans="1:5" ht="13.5" thickBot="1">
      <c r="A80" s="75" t="s">
        <v>166</v>
      </c>
      <c r="B80" s="76" t="s">
        <v>809</v>
      </c>
      <c r="C80" s="319">
        <f>298900.58/196822.43*D61</f>
        <v>4183.827513459722</v>
      </c>
      <c r="D80" s="369" t="s">
        <v>1003</v>
      </c>
      <c r="E80" s="370"/>
    </row>
    <row r="81" ht="13.5" thickBot="1"/>
    <row r="82" spans="2:5" ht="26.25" thickBot="1">
      <c r="B82" s="143"/>
      <c r="C82" s="205" t="s">
        <v>104</v>
      </c>
      <c r="D82" s="236" t="s">
        <v>306</v>
      </c>
      <c r="E82" s="130" t="s">
        <v>305</v>
      </c>
    </row>
    <row r="83" spans="2:5" ht="13.5" thickBot="1">
      <c r="B83" s="363" t="s">
        <v>802</v>
      </c>
      <c r="C83" s="364"/>
      <c r="D83" s="364"/>
      <c r="E83" s="365"/>
    </row>
    <row r="84" spans="2:5" ht="12.75">
      <c r="B84" s="140" t="s">
        <v>285</v>
      </c>
      <c r="C84" s="141">
        <v>223270.11</v>
      </c>
      <c r="D84" s="155">
        <v>254180.16</v>
      </c>
      <c r="E84" s="242">
        <f>D84-C84</f>
        <v>30910.050000000017</v>
      </c>
    </row>
    <row r="85" spans="2:5" ht="12.75">
      <c r="B85" s="115" t="s">
        <v>637</v>
      </c>
      <c r="C85" s="5">
        <v>112066.83</v>
      </c>
      <c r="D85" s="33">
        <v>127250.78</v>
      </c>
      <c r="E85" s="57">
        <f>D85-C85</f>
        <v>15183.949999999997</v>
      </c>
    </row>
    <row r="86" spans="2:5" ht="13.5" thickBot="1">
      <c r="B86" s="157" t="s">
        <v>805</v>
      </c>
      <c r="C86" s="225">
        <v>1015.01</v>
      </c>
      <c r="D86" s="226">
        <v>11399.02</v>
      </c>
      <c r="E86" s="222">
        <f>D86-C86</f>
        <v>10384.01</v>
      </c>
    </row>
    <row r="87" spans="2:5" ht="13.5" thickBot="1">
      <c r="B87" s="124"/>
      <c r="C87" s="283">
        <f>SUM(C84:C86)</f>
        <v>336351.95</v>
      </c>
      <c r="D87" s="283">
        <f>SUM(D84:D86)</f>
        <v>392829.96</v>
      </c>
      <c r="E87" s="137">
        <f>SUM(E84:E86)</f>
        <v>56478.01000000002</v>
      </c>
    </row>
    <row r="88" spans="2:5" ht="13.5" thickBot="1">
      <c r="B88" s="363" t="s">
        <v>801</v>
      </c>
      <c r="C88" s="364"/>
      <c r="D88" s="364"/>
      <c r="E88" s="365"/>
    </row>
    <row r="89" spans="2:5" ht="12.75">
      <c r="B89" s="140" t="s">
        <v>285</v>
      </c>
      <c r="C89" s="141">
        <v>268213.38</v>
      </c>
      <c r="D89" s="218">
        <v>279534.48</v>
      </c>
      <c r="E89" s="242">
        <f>D89-C89</f>
        <v>11321.099999999977</v>
      </c>
    </row>
    <row r="90" spans="2:5" ht="12.75">
      <c r="B90" s="115" t="s">
        <v>637</v>
      </c>
      <c r="C90" s="5">
        <v>130252.05</v>
      </c>
      <c r="D90" s="99">
        <v>135911.59</v>
      </c>
      <c r="E90" s="57">
        <f>D90-C90</f>
        <v>5659.539999999994</v>
      </c>
    </row>
    <row r="91" spans="2:5" ht="12.75">
      <c r="B91" s="115" t="s">
        <v>805</v>
      </c>
      <c r="C91" s="10">
        <v>5075.05</v>
      </c>
      <c r="D91" s="98">
        <v>12180.12</v>
      </c>
      <c r="E91" s="57">
        <f>D91-C91</f>
        <v>7105.070000000001</v>
      </c>
    </row>
    <row r="92" spans="2:5" ht="13.5" thickBot="1">
      <c r="B92" s="157" t="s">
        <v>367</v>
      </c>
      <c r="C92" s="224">
        <v>6000</v>
      </c>
      <c r="D92" s="311">
        <v>6000</v>
      </c>
      <c r="E92" s="222">
        <f>D92-C92</f>
        <v>0</v>
      </c>
    </row>
    <row r="93" spans="2:5" ht="13.5" thickBot="1">
      <c r="B93" s="187"/>
      <c r="C93" s="282">
        <f>SUM(C89:C92)</f>
        <v>409540.48</v>
      </c>
      <c r="D93" s="282">
        <f>SUM(D89:D92)</f>
        <v>433626.18999999994</v>
      </c>
      <c r="E93" s="282">
        <f>SUM(E89:E92)</f>
        <v>24085.70999999997</v>
      </c>
    </row>
    <row r="94" spans="2:5" ht="13.5" thickBot="1">
      <c r="B94" s="363" t="s">
        <v>1047</v>
      </c>
      <c r="C94" s="364"/>
      <c r="D94" s="364"/>
      <c r="E94" s="365"/>
    </row>
    <row r="95" spans="2:5" ht="12.75">
      <c r="B95" s="140" t="s">
        <v>285</v>
      </c>
      <c r="C95" s="234">
        <v>281910.44</v>
      </c>
      <c r="D95" s="218">
        <v>300629.71</v>
      </c>
      <c r="E95" s="242">
        <f>D95-C95</f>
        <v>18719.27000000002</v>
      </c>
    </row>
    <row r="96" spans="2:5" ht="12.75">
      <c r="B96" s="115" t="s">
        <v>637</v>
      </c>
      <c r="C96" s="10">
        <v>137552.15</v>
      </c>
      <c r="D96" s="99">
        <v>146179.22</v>
      </c>
      <c r="E96" s="57">
        <f>D96-C96</f>
        <v>8627.070000000007</v>
      </c>
    </row>
    <row r="97" spans="2:5" ht="12.75">
      <c r="B97" s="115" t="s">
        <v>1200</v>
      </c>
      <c r="C97" s="125">
        <v>7104.19</v>
      </c>
      <c r="D97" s="125">
        <v>7104.19</v>
      </c>
      <c r="E97" s="57">
        <f>D97-C97</f>
        <v>0</v>
      </c>
    </row>
    <row r="98" spans="2:5" ht="13.5" thickBot="1">
      <c r="B98" s="157" t="s">
        <v>232</v>
      </c>
      <c r="C98" s="274">
        <v>10058.25</v>
      </c>
      <c r="D98" s="311">
        <v>13103.28</v>
      </c>
      <c r="E98" s="222">
        <f>D98-C98</f>
        <v>3045.0300000000007</v>
      </c>
    </row>
    <row r="99" spans="2:5" ht="13.5" thickBot="1">
      <c r="B99" s="187"/>
      <c r="C99" s="282">
        <f>SUM(C95:C98)</f>
        <v>436625.02999999997</v>
      </c>
      <c r="D99" s="282">
        <f>SUM(D95:D98)</f>
        <v>467016.4000000001</v>
      </c>
      <c r="E99" s="282">
        <f>SUM(E95:E98)</f>
        <v>30391.370000000024</v>
      </c>
    </row>
    <row r="100" spans="2:5" ht="13.5" thickBot="1">
      <c r="B100" s="363" t="s">
        <v>329</v>
      </c>
      <c r="C100" s="364"/>
      <c r="D100" s="364"/>
      <c r="E100" s="365"/>
    </row>
    <row r="101" spans="2:5" ht="12.75">
      <c r="B101" s="140" t="s">
        <v>285</v>
      </c>
      <c r="C101" s="141">
        <v>145453.02</v>
      </c>
      <c r="D101" s="155">
        <v>131549.95</v>
      </c>
      <c r="E101" s="242">
        <f aca="true" t="shared" si="1" ref="E101:E106">D101-C101</f>
        <v>-13903.069999999978</v>
      </c>
    </row>
    <row r="102" spans="2:5" ht="12.75">
      <c r="B102" s="115" t="s">
        <v>637</v>
      </c>
      <c r="C102" s="5">
        <v>70781.1</v>
      </c>
      <c r="D102" s="33">
        <v>63968.35</v>
      </c>
      <c r="E102" s="57">
        <f t="shared" si="1"/>
        <v>-6812.750000000007</v>
      </c>
    </row>
    <row r="103" spans="2:5" ht="12.75">
      <c r="B103" s="116" t="s">
        <v>816</v>
      </c>
      <c r="C103" s="94">
        <v>2393.78</v>
      </c>
      <c r="D103" s="83">
        <v>8327.29</v>
      </c>
      <c r="E103" s="57">
        <f t="shared" si="1"/>
        <v>5933.51</v>
      </c>
    </row>
    <row r="104" spans="2:5" ht="12.75">
      <c r="B104" s="220" t="s">
        <v>811</v>
      </c>
      <c r="C104" s="94">
        <v>61471.57</v>
      </c>
      <c r="D104" s="83">
        <v>63700.7</v>
      </c>
      <c r="E104" s="57">
        <f t="shared" si="1"/>
        <v>2229.1299999999974</v>
      </c>
    </row>
    <row r="105" spans="2:5" ht="12.75">
      <c r="B105" s="278" t="s">
        <v>792</v>
      </c>
      <c r="C105" s="122">
        <v>300</v>
      </c>
      <c r="D105" s="122">
        <v>600</v>
      </c>
      <c r="E105" s="123">
        <f t="shared" si="1"/>
        <v>300</v>
      </c>
    </row>
    <row r="106" spans="2:5" ht="13.5" thickBot="1">
      <c r="B106" s="157" t="s">
        <v>279</v>
      </c>
      <c r="C106" s="274">
        <v>2130</v>
      </c>
      <c r="D106" s="277">
        <v>1420</v>
      </c>
      <c r="E106" s="219">
        <f t="shared" si="1"/>
        <v>-710</v>
      </c>
    </row>
    <row r="107" spans="2:5" ht="13.5" thickBot="1">
      <c r="B107" s="153"/>
      <c r="C107" s="286">
        <f>SUM(C101:C106)</f>
        <v>282529.47</v>
      </c>
      <c r="D107" s="286">
        <f>SUM(D101:D106)</f>
        <v>269566.29000000004</v>
      </c>
      <c r="E107" s="158">
        <f>SUM(E101:E106)</f>
        <v>-12963.179999999988</v>
      </c>
    </row>
    <row r="108" spans="2:5" ht="13.5" thickBot="1">
      <c r="B108" s="363" t="s">
        <v>87</v>
      </c>
      <c r="C108" s="364"/>
      <c r="D108" s="364"/>
      <c r="E108" s="365"/>
    </row>
    <row r="109" spans="2:5" ht="12.75">
      <c r="B109" s="140" t="s">
        <v>285</v>
      </c>
      <c r="C109" s="234">
        <v>313042.26</v>
      </c>
      <c r="D109" s="218">
        <v>332201.87</v>
      </c>
      <c r="E109" s="242">
        <f aca="true" t="shared" si="2" ref="E109:E115">D109-C109</f>
        <v>19159.609999999986</v>
      </c>
    </row>
    <row r="110" spans="2:5" ht="12.75">
      <c r="B110" s="115" t="s">
        <v>637</v>
      </c>
      <c r="C110" s="10">
        <v>152722.5</v>
      </c>
      <c r="D110" s="98">
        <v>162678.24</v>
      </c>
      <c r="E110" s="133">
        <f t="shared" si="2"/>
        <v>9955.73999999999</v>
      </c>
    </row>
    <row r="111" spans="2:5" ht="12.75">
      <c r="B111" s="115" t="s">
        <v>364</v>
      </c>
      <c r="C111" s="10">
        <v>42116.22</v>
      </c>
      <c r="D111" s="98">
        <v>35008.68</v>
      </c>
      <c r="E111" s="133">
        <f t="shared" si="2"/>
        <v>-7107.540000000001</v>
      </c>
    </row>
    <row r="112" spans="2:5" ht="12.75">
      <c r="B112" s="115" t="s">
        <v>1004</v>
      </c>
      <c r="C112" s="10">
        <v>22763.77</v>
      </c>
      <c r="D112" s="98">
        <v>24426.26</v>
      </c>
      <c r="E112" s="133">
        <f t="shared" si="2"/>
        <v>1662.489999999998</v>
      </c>
    </row>
    <row r="113" spans="2:5" ht="12.75">
      <c r="B113" s="115" t="s">
        <v>29</v>
      </c>
      <c r="C113" s="10">
        <v>8520</v>
      </c>
      <c r="D113" s="98">
        <v>8520</v>
      </c>
      <c r="E113" s="133">
        <f t="shared" si="2"/>
        <v>0</v>
      </c>
    </row>
    <row r="114" spans="2:5" ht="12.75" customHeight="1">
      <c r="B114" s="352" t="s">
        <v>1007</v>
      </c>
      <c r="C114" s="258">
        <v>2093.39</v>
      </c>
      <c r="D114" s="258">
        <v>2093.39</v>
      </c>
      <c r="E114" s="133">
        <f t="shared" si="2"/>
        <v>0</v>
      </c>
    </row>
    <row r="115" spans="2:5" ht="13.5" thickBot="1">
      <c r="B115" s="157" t="s">
        <v>805</v>
      </c>
      <c r="C115" s="225">
        <f>22545.28+14235.22</f>
        <v>36780.5</v>
      </c>
      <c r="D115" s="227">
        <v>16649.89</v>
      </c>
      <c r="E115" s="219">
        <f t="shared" si="2"/>
        <v>-20130.61</v>
      </c>
    </row>
    <row r="116" spans="2:5" ht="13.5" thickBot="1">
      <c r="B116" s="187"/>
      <c r="C116" s="254">
        <f>SUM(C109:C115)</f>
        <v>578038.64</v>
      </c>
      <c r="D116" s="255">
        <f>SUM(D109:D115)</f>
        <v>581578.3300000001</v>
      </c>
      <c r="E116" s="260">
        <f>SUM(E109:E115)</f>
        <v>3539.689999999973</v>
      </c>
    </row>
    <row r="117" spans="2:5" ht="13.5" thickBot="1">
      <c r="B117" s="366" t="s">
        <v>379</v>
      </c>
      <c r="C117" s="367"/>
      <c r="D117" s="367"/>
      <c r="E117" s="368"/>
    </row>
    <row r="118" spans="2:5" ht="13.5" thickBot="1">
      <c r="B118" s="153"/>
      <c r="C118" s="175">
        <f>C87+C93+C99+C107+C116</f>
        <v>2043085.5699999998</v>
      </c>
      <c r="D118" s="175">
        <f>D87+D93+D99+D107+D116</f>
        <v>2144617.17</v>
      </c>
      <c r="E118" s="175">
        <f>E87+E93+E99+E107+E116</f>
        <v>101531.59999999999</v>
      </c>
    </row>
  </sheetData>
  <sheetProtection/>
  <mergeCells count="23">
    <mergeCell ref="A6:E6"/>
    <mergeCell ref="A20:D20"/>
    <mergeCell ref="A21:D21"/>
    <mergeCell ref="D25:E25"/>
    <mergeCell ref="A2:B2"/>
    <mergeCell ref="C2:E2"/>
    <mergeCell ref="C3:E3"/>
    <mergeCell ref="B4:E4"/>
    <mergeCell ref="D76:E76"/>
    <mergeCell ref="D77:E77"/>
    <mergeCell ref="D78:E78"/>
    <mergeCell ref="D79:E79"/>
    <mergeCell ref="D72:E72"/>
    <mergeCell ref="D73:E73"/>
    <mergeCell ref="D74:E74"/>
    <mergeCell ref="D75:E75"/>
    <mergeCell ref="B100:E100"/>
    <mergeCell ref="B117:E117"/>
    <mergeCell ref="B108:E108"/>
    <mergeCell ref="D80:E80"/>
    <mergeCell ref="B83:E83"/>
    <mergeCell ref="B88:E88"/>
    <mergeCell ref="B94:E94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625" style="0" customWidth="1"/>
    <col min="2" max="2" width="57.875" style="0" customWidth="1"/>
    <col min="3" max="3" width="13.125" style="0" customWidth="1"/>
    <col min="4" max="4" width="13.00390625" style="0" customWidth="1"/>
    <col min="5" max="5" width="12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6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389</v>
      </c>
      <c r="C7" s="26"/>
      <c r="D7" s="24"/>
    </row>
    <row r="8" spans="1:4" ht="15">
      <c r="A8" s="26"/>
      <c r="B8" s="27" t="s">
        <v>115</v>
      </c>
      <c r="C8" s="38">
        <v>3117.9</v>
      </c>
      <c r="D8" s="92" t="s">
        <v>116</v>
      </c>
    </row>
    <row r="9" spans="1:4" ht="15">
      <c r="A9" s="26"/>
      <c r="B9" s="27" t="s">
        <v>654</v>
      </c>
      <c r="C9" s="93">
        <v>967.8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f>365503.71+13.53</f>
        <v>365517.24000000005</v>
      </c>
      <c r="D12" s="155">
        <v>382923.69</v>
      </c>
      <c r="E12" s="242">
        <f aca="true" t="shared" si="0" ref="E12:E19">D12-C12</f>
        <v>17406.449999999953</v>
      </c>
    </row>
    <row r="13" spans="1:5" ht="12.75">
      <c r="A13" s="84">
        <v>2</v>
      </c>
      <c r="B13" s="5" t="s">
        <v>637</v>
      </c>
      <c r="C13" s="10">
        <v>182290.3</v>
      </c>
      <c r="D13" s="34">
        <v>183003.34</v>
      </c>
      <c r="E13" s="57">
        <f t="shared" si="0"/>
        <v>713.0400000000081</v>
      </c>
    </row>
    <row r="14" spans="1:5" ht="12.75">
      <c r="A14" s="87">
        <v>3</v>
      </c>
      <c r="B14" s="5" t="s">
        <v>633</v>
      </c>
      <c r="C14" s="67">
        <v>61734.94</v>
      </c>
      <c r="D14" s="83">
        <v>67347.95</v>
      </c>
      <c r="E14" s="57">
        <f t="shared" si="0"/>
        <v>5613.009999999995</v>
      </c>
    </row>
    <row r="15" spans="1:5" ht="12.75">
      <c r="A15" s="84">
        <v>4</v>
      </c>
      <c r="B15" s="65" t="s">
        <v>364</v>
      </c>
      <c r="C15" s="94">
        <v>108889.89</v>
      </c>
      <c r="D15" s="83">
        <v>110873.76</v>
      </c>
      <c r="E15" s="57">
        <f t="shared" si="0"/>
        <v>1983.8699999999953</v>
      </c>
    </row>
    <row r="16" spans="1:5" ht="12.75" customHeight="1">
      <c r="A16" s="87">
        <v>5</v>
      </c>
      <c r="B16" s="351" t="s">
        <v>1007</v>
      </c>
      <c r="C16" s="258">
        <v>6836.85</v>
      </c>
      <c r="D16" s="258">
        <v>6836.85</v>
      </c>
      <c r="E16" s="66">
        <f t="shared" si="0"/>
        <v>0</v>
      </c>
    </row>
    <row r="17" spans="1:5" ht="12.75">
      <c r="A17" s="84">
        <v>6</v>
      </c>
      <c r="B17" s="65" t="s">
        <v>29</v>
      </c>
      <c r="C17" s="94">
        <f>2400+3600</f>
        <v>6000</v>
      </c>
      <c r="D17" s="83">
        <f>2400+3600</f>
        <v>6000</v>
      </c>
      <c r="E17" s="57">
        <f t="shared" si="0"/>
        <v>0</v>
      </c>
    </row>
    <row r="18" spans="1:5" ht="12.75">
      <c r="A18" s="84">
        <v>7</v>
      </c>
      <c r="B18" s="105" t="s">
        <v>163</v>
      </c>
      <c r="C18" s="122">
        <v>331142.85</v>
      </c>
      <c r="D18" s="122">
        <v>360714.21</v>
      </c>
      <c r="E18" s="66">
        <f t="shared" si="0"/>
        <v>29571.360000000044</v>
      </c>
    </row>
    <row r="19" spans="1:5" ht="13.5" thickBot="1">
      <c r="A19" s="87">
        <v>8</v>
      </c>
      <c r="B19" s="5" t="s">
        <v>805</v>
      </c>
      <c r="C19" s="67">
        <f>39223.03+58255.95+24752.85+19967.76+18035.91+8648.05+49042.26+1256.4+52289.25+24694.33</f>
        <v>296165.79</v>
      </c>
      <c r="D19" s="83">
        <f>36205.58+56968.24+28892.66+21019.68+18035.91+26744.29+49042.26+2512.8+49000.01+17682.07+32123.64</f>
        <v>338227.14</v>
      </c>
      <c r="E19" s="57">
        <f t="shared" si="0"/>
        <v>42061.350000000035</v>
      </c>
    </row>
    <row r="20" spans="1:5" ht="13.5" thickBot="1">
      <c r="A20" s="208"/>
      <c r="B20" s="209"/>
      <c r="C20" s="135">
        <f>SUM(C12:C19)</f>
        <v>1358577.8599999999</v>
      </c>
      <c r="D20" s="135">
        <f>SUM(D12:D19)</f>
        <v>1455926.94</v>
      </c>
      <c r="E20" s="136">
        <f>SUM(E12:E19)</f>
        <v>97349.08000000003</v>
      </c>
    </row>
    <row r="21" spans="1:5" ht="12.75">
      <c r="A21" s="385" t="s">
        <v>793</v>
      </c>
      <c r="B21" s="386"/>
      <c r="C21" s="386"/>
      <c r="D21" s="386"/>
      <c r="E21" s="108">
        <f>E132</f>
        <v>309597.9900000001</v>
      </c>
    </row>
    <row r="22" spans="1:5" ht="12.75">
      <c r="A22" s="387" t="s">
        <v>794</v>
      </c>
      <c r="B22" s="384"/>
      <c r="C22" s="384"/>
      <c r="D22" s="384"/>
      <c r="E22" s="22">
        <v>373585.83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12.75">
      <c r="A25" s="86">
        <v>1</v>
      </c>
      <c r="B25" s="64" t="s">
        <v>368</v>
      </c>
      <c r="C25" s="80">
        <f>C66</f>
        <v>297069.75</v>
      </c>
      <c r="E25" s="29"/>
    </row>
    <row r="26" spans="1:5" ht="12.75">
      <c r="A26" s="91">
        <v>2</v>
      </c>
      <c r="B26" s="25" t="s">
        <v>344</v>
      </c>
      <c r="C26" s="102">
        <f>C72</f>
        <v>20652.85</v>
      </c>
      <c r="D26" s="388"/>
      <c r="E26" s="389"/>
    </row>
    <row r="27" spans="1:5" ht="12.75">
      <c r="A27" s="84">
        <v>3</v>
      </c>
      <c r="B27" s="9" t="s">
        <v>649</v>
      </c>
      <c r="C27" s="48">
        <v>8859.9</v>
      </c>
      <c r="E27" s="29"/>
    </row>
    <row r="28" spans="1:5" ht="12.75">
      <c r="A28" s="84">
        <v>4</v>
      </c>
      <c r="B28" s="9" t="s">
        <v>122</v>
      </c>
      <c r="C28" s="48">
        <f>(C8*0.55*12)</f>
        <v>20578.140000000003</v>
      </c>
      <c r="E28" s="29"/>
    </row>
    <row r="29" spans="1:5" ht="12.75">
      <c r="A29" s="84">
        <v>5</v>
      </c>
      <c r="B29" s="9" t="s">
        <v>658</v>
      </c>
      <c r="C29" s="79">
        <v>43202.64</v>
      </c>
      <c r="E29" s="29"/>
    </row>
    <row r="30" spans="1:5" ht="38.25" customHeight="1">
      <c r="A30" s="91">
        <v>6</v>
      </c>
      <c r="B30" s="25" t="s">
        <v>1126</v>
      </c>
      <c r="C30" s="96">
        <v>10501.69</v>
      </c>
      <c r="E30" s="29"/>
    </row>
    <row r="31" spans="1:5" ht="25.5">
      <c r="A31" s="91">
        <v>7</v>
      </c>
      <c r="B31" s="25" t="s">
        <v>1128</v>
      </c>
      <c r="C31" s="96">
        <v>4800</v>
      </c>
      <c r="E31" s="29"/>
    </row>
    <row r="32" spans="1:5" ht="25.5" customHeight="1">
      <c r="A32" s="91">
        <v>8</v>
      </c>
      <c r="B32" s="346" t="s">
        <v>1127</v>
      </c>
      <c r="C32" s="96">
        <v>15045.27</v>
      </c>
      <c r="E32" s="29"/>
    </row>
    <row r="33" spans="1:5" ht="12.75">
      <c r="A33" s="91">
        <v>9</v>
      </c>
      <c r="B33" s="346" t="s">
        <v>26</v>
      </c>
      <c r="C33" s="96">
        <v>600</v>
      </c>
      <c r="E33" s="29"/>
    </row>
    <row r="34" spans="1:5" ht="25.5">
      <c r="A34" s="91">
        <v>10</v>
      </c>
      <c r="B34" s="25" t="s">
        <v>335</v>
      </c>
      <c r="C34" s="96">
        <v>7700</v>
      </c>
      <c r="E34" s="29"/>
    </row>
    <row r="35" spans="1:5" ht="12.75">
      <c r="A35" s="84">
        <v>11</v>
      </c>
      <c r="B35" s="25" t="s">
        <v>1129</v>
      </c>
      <c r="C35" s="79">
        <v>6991.08</v>
      </c>
      <c r="E35" s="29"/>
    </row>
    <row r="36" spans="1:5" ht="12.75">
      <c r="A36" s="84">
        <v>12</v>
      </c>
      <c r="B36" s="25" t="s">
        <v>1140</v>
      </c>
      <c r="C36" s="79">
        <v>371768</v>
      </c>
      <c r="E36" s="29"/>
    </row>
    <row r="37" spans="1:5" ht="12.75">
      <c r="A37" s="91">
        <v>13</v>
      </c>
      <c r="B37" s="25" t="s">
        <v>363</v>
      </c>
      <c r="C37" s="349">
        <v>4064.76</v>
      </c>
      <c r="E37" s="29"/>
    </row>
    <row r="38" spans="1:3" ht="12.75">
      <c r="A38" s="50"/>
      <c r="B38" s="20" t="s">
        <v>629</v>
      </c>
      <c r="C38" s="51">
        <f>SUM(C25:C37)</f>
        <v>811834.0800000001</v>
      </c>
    </row>
    <row r="39" spans="1:3" ht="12.75">
      <c r="A39" s="49"/>
      <c r="B39" s="8" t="s">
        <v>965</v>
      </c>
      <c r="C39" s="45"/>
    </row>
    <row r="40" spans="1:3" ht="12.75">
      <c r="A40" s="84">
        <v>1</v>
      </c>
      <c r="B40" s="9" t="s">
        <v>228</v>
      </c>
      <c r="C40" s="48">
        <f>(C20)*15%</f>
        <v>203786.67899999997</v>
      </c>
    </row>
    <row r="41" spans="1:3" ht="12.75">
      <c r="A41" s="84">
        <v>2</v>
      </c>
      <c r="B41" s="9" t="s">
        <v>813</v>
      </c>
      <c r="C41" s="48">
        <f>C78</f>
        <v>6752.921812578618</v>
      </c>
    </row>
    <row r="42" spans="1:3" ht="12.75">
      <c r="A42" s="84">
        <v>3</v>
      </c>
      <c r="B42" s="9" t="s">
        <v>653</v>
      </c>
      <c r="C42" s="48">
        <f>C79</f>
        <v>7334.673694847558</v>
      </c>
    </row>
    <row r="43" spans="1:3" ht="12.75">
      <c r="A43" s="84">
        <v>4</v>
      </c>
      <c r="B43" s="9" t="s">
        <v>1114</v>
      </c>
      <c r="C43" s="52">
        <f>C80</f>
        <v>14889.680858166801</v>
      </c>
    </row>
    <row r="44" spans="1:3" ht="12.75">
      <c r="A44" s="84">
        <v>5</v>
      </c>
      <c r="B44" s="9" t="s">
        <v>162</v>
      </c>
      <c r="C44" s="52">
        <f>C81</f>
        <v>14256.762101853863</v>
      </c>
    </row>
    <row r="45" spans="1:3" ht="12.75">
      <c r="A45" s="84">
        <v>6</v>
      </c>
      <c r="B45" s="9" t="s">
        <v>1051</v>
      </c>
      <c r="C45" s="48">
        <f>C82+C84+C85+C86+C83</f>
        <v>24193.66501524611</v>
      </c>
    </row>
    <row r="46" spans="1:3" ht="12.75">
      <c r="A46" s="49"/>
      <c r="B46" s="74" t="s">
        <v>809</v>
      </c>
      <c r="C46" s="53"/>
    </row>
    <row r="47" spans="1:3" ht="12.75">
      <c r="A47" s="49"/>
      <c r="B47" s="5" t="s">
        <v>655</v>
      </c>
      <c r="C47" s="53"/>
    </row>
    <row r="48" spans="1:3" ht="12.75">
      <c r="A48" s="49"/>
      <c r="B48" s="74" t="s">
        <v>656</v>
      </c>
      <c r="C48" s="53"/>
    </row>
    <row r="49" spans="1:3" ht="12.75">
      <c r="A49" s="49"/>
      <c r="B49" s="74" t="s">
        <v>808</v>
      </c>
      <c r="C49" s="53"/>
    </row>
    <row r="50" spans="1:3" ht="12.75">
      <c r="A50" s="50"/>
      <c r="B50" s="20" t="s">
        <v>629</v>
      </c>
      <c r="C50" s="51">
        <f>C40+C41+C42+C43+C44+C45</f>
        <v>271214.38248269295</v>
      </c>
    </row>
    <row r="51" spans="1:3" ht="12.75">
      <c r="A51" s="49"/>
      <c r="B51" s="7" t="s">
        <v>966</v>
      </c>
      <c r="C51" s="45"/>
    </row>
    <row r="52" spans="1:3" ht="12.75">
      <c r="A52" s="84">
        <v>1</v>
      </c>
      <c r="B52" s="9" t="s">
        <v>631</v>
      </c>
      <c r="C52" s="48">
        <f>C20*2%</f>
        <v>27171.5572</v>
      </c>
    </row>
    <row r="53" spans="1:3" ht="12.75">
      <c r="A53" s="84">
        <v>2</v>
      </c>
      <c r="B53" s="9" t="s">
        <v>391</v>
      </c>
      <c r="C53" s="48">
        <f>C54</f>
        <v>79884.378168</v>
      </c>
    </row>
    <row r="54" spans="1:4" ht="12.75">
      <c r="A54" s="49"/>
      <c r="B54" s="5" t="s">
        <v>334</v>
      </c>
      <c r="C54" s="41">
        <f>(C20-C52)*6%</f>
        <v>79884.378168</v>
      </c>
      <c r="D54" s="19"/>
    </row>
    <row r="55" spans="1:3" ht="13.5" thickBot="1">
      <c r="A55" s="54"/>
      <c r="B55" s="55" t="s">
        <v>967</v>
      </c>
      <c r="C55" s="56">
        <f>C52+C53</f>
        <v>107055.93536799999</v>
      </c>
    </row>
    <row r="56" spans="1:3" ht="12.75">
      <c r="A56" s="23"/>
      <c r="B56" s="4" t="s">
        <v>288</v>
      </c>
      <c r="C56" s="11">
        <f>C38+C50+C55</f>
        <v>1190104.3978506932</v>
      </c>
    </row>
    <row r="57" spans="1:3" ht="12.75">
      <c r="A57" s="23"/>
      <c r="B57" s="77"/>
      <c r="C57" s="1"/>
    </row>
    <row r="58" spans="1:3" ht="15">
      <c r="A58" s="23"/>
      <c r="B58" s="14" t="s">
        <v>812</v>
      </c>
      <c r="C58" s="1">
        <v>91548.55</v>
      </c>
    </row>
    <row r="59" spans="1:3" ht="15">
      <c r="A59" s="23"/>
      <c r="B59" s="14" t="s">
        <v>12</v>
      </c>
      <c r="C59" s="1">
        <v>91548.55</v>
      </c>
    </row>
    <row r="60" spans="1:3" ht="15">
      <c r="A60" s="23"/>
      <c r="B60" s="14" t="s">
        <v>94</v>
      </c>
      <c r="C60" s="11">
        <f>C20+C59-C56-C58</f>
        <v>168473.46214930672</v>
      </c>
    </row>
    <row r="61" ht="12.75">
      <c r="B61" s="1" t="s">
        <v>85</v>
      </c>
    </row>
    <row r="62" ht="17.25" customHeight="1">
      <c r="B62" s="1" t="s">
        <v>1197</v>
      </c>
    </row>
    <row r="63" spans="1:4" ht="12.75">
      <c r="A63" s="2"/>
      <c r="B63" s="2"/>
      <c r="C63" s="2" t="s">
        <v>790</v>
      </c>
      <c r="D63" s="2"/>
    </row>
    <row r="64" spans="1:4" ht="12.75">
      <c r="A64" s="2"/>
      <c r="B64" s="2"/>
      <c r="C64" s="2" t="s">
        <v>1116</v>
      </c>
      <c r="D64" s="2"/>
    </row>
    <row r="65" spans="1:5" ht="13.5" thickBot="1">
      <c r="A65" s="37"/>
      <c r="B65" s="37" t="s">
        <v>969</v>
      </c>
      <c r="C65" s="32" t="s">
        <v>886</v>
      </c>
      <c r="D65" s="114">
        <f>C8+C9</f>
        <v>4085.7</v>
      </c>
      <c r="E65" t="s">
        <v>116</v>
      </c>
    </row>
    <row r="66" spans="1:5" ht="12.75">
      <c r="A66" s="60" t="s">
        <v>218</v>
      </c>
      <c r="B66" s="39" t="s">
        <v>165</v>
      </c>
      <c r="C66" s="47">
        <v>297069.75</v>
      </c>
      <c r="D66" s="15"/>
      <c r="E66" s="21"/>
    </row>
    <row r="67" spans="1:5" ht="12.75">
      <c r="A67" s="61"/>
      <c r="B67" s="6" t="s">
        <v>118</v>
      </c>
      <c r="C67" s="41"/>
      <c r="D67" s="15"/>
      <c r="E67" s="21"/>
    </row>
    <row r="68" spans="1:5" ht="12.75">
      <c r="A68" s="62" t="s">
        <v>166</v>
      </c>
      <c r="B68" s="6" t="s">
        <v>380</v>
      </c>
      <c r="C68" s="41">
        <v>13248.5</v>
      </c>
      <c r="D68" s="15"/>
      <c r="E68" s="15"/>
    </row>
    <row r="69" spans="1:5" ht="12.75">
      <c r="A69" s="62" t="s">
        <v>166</v>
      </c>
      <c r="B69" s="6" t="s">
        <v>0</v>
      </c>
      <c r="C69" s="41">
        <v>13002.07</v>
      </c>
      <c r="D69" s="15"/>
      <c r="E69" s="15"/>
    </row>
    <row r="70" spans="1:5" ht="12.75">
      <c r="A70" s="62" t="s">
        <v>166</v>
      </c>
      <c r="B70" s="6" t="s">
        <v>277</v>
      </c>
      <c r="C70" s="41">
        <v>7300</v>
      </c>
      <c r="D70" s="15"/>
      <c r="E70" s="15"/>
    </row>
    <row r="71" spans="1:5" ht="13.5" thickBot="1">
      <c r="A71" s="63" t="s">
        <v>166</v>
      </c>
      <c r="B71" s="42" t="s">
        <v>818</v>
      </c>
      <c r="C71" s="46">
        <v>3291.01</v>
      </c>
      <c r="D71" s="15"/>
      <c r="E71" s="15"/>
    </row>
    <row r="72" spans="1:5" ht="12.75">
      <c r="A72" s="60" t="s">
        <v>328</v>
      </c>
      <c r="B72" s="39" t="s">
        <v>343</v>
      </c>
      <c r="C72" s="47">
        <v>20652.85</v>
      </c>
      <c r="D72" s="15"/>
      <c r="E72" s="12"/>
    </row>
    <row r="73" spans="1:5" ht="12.75">
      <c r="A73" s="61"/>
      <c r="B73" s="6" t="s">
        <v>118</v>
      </c>
      <c r="C73" s="41"/>
      <c r="D73" s="15"/>
      <c r="E73" s="12"/>
    </row>
    <row r="74" spans="1:5" ht="12.75">
      <c r="A74" s="62" t="s">
        <v>166</v>
      </c>
      <c r="B74" s="6" t="s">
        <v>380</v>
      </c>
      <c r="C74" s="41">
        <v>1845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178.28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271214.3824826929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C40</f>
        <v>203786.67899999997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6752.921812578618</v>
      </c>
      <c r="D78" s="375" t="s">
        <v>1117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7334.673694847558</v>
      </c>
      <c r="D79" s="377" t="s">
        <v>1118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14889.680858166801</v>
      </c>
      <c r="D80" s="379" t="s">
        <v>1119</v>
      </c>
      <c r="E80" s="380"/>
    </row>
    <row r="81" spans="1:5" ht="25.5">
      <c r="A81" s="73" t="s">
        <v>166</v>
      </c>
      <c r="B81" s="72" t="s">
        <v>231</v>
      </c>
      <c r="C81" s="318">
        <f>845684.35/242356.05*D65</f>
        <v>14256.762101853863</v>
      </c>
      <c r="D81" s="381" t="s">
        <v>1120</v>
      </c>
      <c r="E81" s="382"/>
    </row>
    <row r="82" spans="1:5" ht="12.75">
      <c r="A82" s="73" t="s">
        <v>166</v>
      </c>
      <c r="B82" s="74" t="s">
        <v>808</v>
      </c>
      <c r="C82" s="318">
        <f>642562.44/242356.05*D65</f>
        <v>10832.481223835755</v>
      </c>
      <c r="D82" s="371" t="s">
        <v>1121</v>
      </c>
      <c r="E82" s="372"/>
    </row>
    <row r="83" spans="1:5" ht="12.75">
      <c r="A83" s="73" t="s">
        <v>166</v>
      </c>
      <c r="B83" s="74" t="s">
        <v>826</v>
      </c>
      <c r="C83" s="318">
        <f>51615/196822.43*D65</f>
        <v>1071.4399039784237</v>
      </c>
      <c r="D83" s="371" t="s">
        <v>1122</v>
      </c>
      <c r="E83" s="372"/>
    </row>
    <row r="84" spans="1:5" ht="12.75">
      <c r="A84" s="73" t="s">
        <v>166</v>
      </c>
      <c r="B84" s="74" t="s">
        <v>655</v>
      </c>
      <c r="C84" s="318">
        <f>129011.28/196822.43*D65</f>
        <v>2678.0554771933257</v>
      </c>
      <c r="D84" s="371" t="s">
        <v>1123</v>
      </c>
      <c r="E84" s="372"/>
    </row>
    <row r="85" spans="1:5" ht="12.75">
      <c r="A85" s="73" t="s">
        <v>166</v>
      </c>
      <c r="B85" s="74" t="s">
        <v>656</v>
      </c>
      <c r="C85" s="318">
        <f>164128/196822.43*D65</f>
        <v>3407.019055704169</v>
      </c>
      <c r="D85" s="373" t="s">
        <v>1124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298900.58/196822.43*D65</f>
        <v>6204.66935453444</v>
      </c>
      <c r="D86" s="369" t="s">
        <v>1125</v>
      </c>
      <c r="E86" s="370"/>
    </row>
    <row r="87" ht="13.5" thickBot="1"/>
    <row r="88" spans="2:5" ht="24.75" thickBot="1">
      <c r="B88" s="143"/>
      <c r="C88" s="205" t="s">
        <v>104</v>
      </c>
      <c r="D88" s="236" t="s">
        <v>306</v>
      </c>
      <c r="E88" s="130" t="s">
        <v>305</v>
      </c>
    </row>
    <row r="89" spans="2:5" ht="13.5" thickBot="1">
      <c r="B89" s="363" t="s">
        <v>802</v>
      </c>
      <c r="C89" s="364"/>
      <c r="D89" s="364"/>
      <c r="E89" s="365"/>
    </row>
    <row r="90" spans="2:5" ht="12.75">
      <c r="B90" s="140" t="s">
        <v>285</v>
      </c>
      <c r="C90" s="212">
        <v>250285.26</v>
      </c>
      <c r="D90" s="285">
        <v>308183.71</v>
      </c>
      <c r="E90" s="242">
        <f>D90-C90</f>
        <v>57898.45000000001</v>
      </c>
    </row>
    <row r="91" spans="2:5" ht="12.75">
      <c r="B91" s="115" t="s">
        <v>637</v>
      </c>
      <c r="C91" s="18">
        <v>125849.11</v>
      </c>
      <c r="D91" s="36">
        <v>154392.53</v>
      </c>
      <c r="E91" s="57">
        <f>D91-C91</f>
        <v>28543.42</v>
      </c>
    </row>
    <row r="92" spans="2:5" ht="12.75">
      <c r="B92" s="115" t="s">
        <v>633</v>
      </c>
      <c r="C92" s="103">
        <v>22538.37</v>
      </c>
      <c r="D92" s="298">
        <v>28722.74</v>
      </c>
      <c r="E92" s="57">
        <f>D92-C92</f>
        <v>6184.370000000003</v>
      </c>
    </row>
    <row r="93" spans="2:5" ht="13.5" thickBot="1">
      <c r="B93" s="157" t="s">
        <v>805</v>
      </c>
      <c r="C93" s="263">
        <v>124463.33</v>
      </c>
      <c r="D93" s="284">
        <v>154502.5</v>
      </c>
      <c r="E93" s="222">
        <f>D93-C93</f>
        <v>30039.17</v>
      </c>
    </row>
    <row r="94" spans="2:5" ht="13.5" thickBot="1">
      <c r="B94" s="124"/>
      <c r="C94" s="283">
        <f>SUM(C90:C93)</f>
        <v>523136.07</v>
      </c>
      <c r="D94" s="283">
        <f>SUM(D90:D93)</f>
        <v>645801.48</v>
      </c>
      <c r="E94" s="137">
        <f>SUM(E90:E93)</f>
        <v>122665.41000000002</v>
      </c>
    </row>
    <row r="95" spans="2:5" ht="13.5" thickBot="1">
      <c r="B95" s="363" t="s">
        <v>801</v>
      </c>
      <c r="C95" s="364"/>
      <c r="D95" s="364"/>
      <c r="E95" s="365"/>
    </row>
    <row r="96" spans="2:5" ht="12.75">
      <c r="B96" s="140" t="s">
        <v>285</v>
      </c>
      <c r="C96" s="141">
        <v>308415.47</v>
      </c>
      <c r="D96" s="155">
        <v>325508.76</v>
      </c>
      <c r="E96" s="253">
        <f aca="true" t="shared" si="1" ref="E96:E101">D96-C96</f>
        <v>17093.290000000037</v>
      </c>
    </row>
    <row r="97" spans="2:5" ht="12.75">
      <c r="B97" s="115" t="s">
        <v>637</v>
      </c>
      <c r="C97" s="5">
        <v>145822.52</v>
      </c>
      <c r="D97" s="33">
        <v>158264.6</v>
      </c>
      <c r="E97" s="53">
        <f t="shared" si="1"/>
        <v>12442.080000000016</v>
      </c>
    </row>
    <row r="98" spans="2:5" ht="12.75">
      <c r="B98" s="116" t="s">
        <v>1112</v>
      </c>
      <c r="C98" s="67">
        <v>1363.52</v>
      </c>
      <c r="D98" s="83">
        <v>1670</v>
      </c>
      <c r="E98" s="53">
        <f t="shared" si="1"/>
        <v>306.48</v>
      </c>
    </row>
    <row r="99" spans="2:5" ht="12.75">
      <c r="B99" s="116" t="s">
        <v>408</v>
      </c>
      <c r="C99" s="67">
        <v>44956.14</v>
      </c>
      <c r="D99" s="83">
        <v>47604.6</v>
      </c>
      <c r="E99" s="53">
        <f t="shared" si="1"/>
        <v>2648.459999999999</v>
      </c>
    </row>
    <row r="100" spans="2:5" ht="12.75">
      <c r="B100" s="115" t="s">
        <v>805</v>
      </c>
      <c r="C100" s="67">
        <v>221156.41</v>
      </c>
      <c r="D100" s="83">
        <v>201938.64</v>
      </c>
      <c r="E100" s="53">
        <f t="shared" si="1"/>
        <v>-19217.76999999999</v>
      </c>
    </row>
    <row r="101" spans="2:5" ht="13.5" thickBot="1">
      <c r="B101" s="157" t="s">
        <v>292</v>
      </c>
      <c r="C101" s="225">
        <v>16875</v>
      </c>
      <c r="D101" s="226">
        <v>16875</v>
      </c>
      <c r="E101" s="262">
        <f t="shared" si="1"/>
        <v>0</v>
      </c>
    </row>
    <row r="102" spans="2:5" ht="13.5" thickBot="1">
      <c r="B102" s="153"/>
      <c r="C102" s="286">
        <f>SUM(C96:C101)</f>
        <v>738589.06</v>
      </c>
      <c r="D102" s="286">
        <f>SUM(D96:D101)</f>
        <v>751861.6</v>
      </c>
      <c r="E102" s="158">
        <f>SUM(E96:E101)</f>
        <v>13272.540000000063</v>
      </c>
    </row>
    <row r="103" spans="2:5" ht="13.5" thickBot="1">
      <c r="B103" s="363" t="s">
        <v>1047</v>
      </c>
      <c r="C103" s="364"/>
      <c r="D103" s="364"/>
      <c r="E103" s="365"/>
    </row>
    <row r="104" spans="2:5" ht="12.75">
      <c r="B104" s="140" t="s">
        <v>285</v>
      </c>
      <c r="C104" s="234">
        <v>324308.37</v>
      </c>
      <c r="D104" s="218">
        <v>340165.39</v>
      </c>
      <c r="E104" s="253">
        <f aca="true" t="shared" si="2" ref="E104:E111">D104-C104</f>
        <v>15857.020000000019</v>
      </c>
    </row>
    <row r="105" spans="2:5" ht="12.75">
      <c r="B105" s="115" t="s">
        <v>637</v>
      </c>
      <c r="C105" s="10">
        <v>156621.44</v>
      </c>
      <c r="D105" s="99">
        <v>165064.54</v>
      </c>
      <c r="E105" s="53">
        <f t="shared" si="2"/>
        <v>8443.100000000006</v>
      </c>
    </row>
    <row r="106" spans="2:5" ht="12.75">
      <c r="B106" s="115" t="s">
        <v>292</v>
      </c>
      <c r="C106" s="125">
        <v>983.55</v>
      </c>
      <c r="D106" s="125"/>
      <c r="E106" s="53">
        <f t="shared" si="2"/>
        <v>-983.55</v>
      </c>
    </row>
    <row r="107" spans="2:5" ht="12.75">
      <c r="B107" s="115" t="s">
        <v>1200</v>
      </c>
      <c r="C107" s="125">
        <v>12308.17</v>
      </c>
      <c r="D107" s="125">
        <v>12308.17</v>
      </c>
      <c r="E107" s="53">
        <f t="shared" si="2"/>
        <v>0</v>
      </c>
    </row>
    <row r="108" spans="2:5" ht="12.75">
      <c r="B108" s="115" t="s">
        <v>408</v>
      </c>
      <c r="C108" s="125">
        <v>51282.41</v>
      </c>
      <c r="D108" s="125">
        <v>55067.52</v>
      </c>
      <c r="E108" s="53">
        <f t="shared" si="2"/>
        <v>3785.1099999999933</v>
      </c>
    </row>
    <row r="109" spans="2:5" ht="12.75">
      <c r="B109" s="115" t="s">
        <v>113</v>
      </c>
      <c r="C109" s="125">
        <v>266.46</v>
      </c>
      <c r="D109" s="125">
        <v>0</v>
      </c>
      <c r="E109" s="53">
        <f t="shared" si="2"/>
        <v>-266.46</v>
      </c>
    </row>
    <row r="110" spans="2:5" ht="12.75">
      <c r="B110" s="116" t="s">
        <v>1048</v>
      </c>
      <c r="C110" s="258">
        <v>16954.47</v>
      </c>
      <c r="D110" s="258">
        <v>16954.47</v>
      </c>
      <c r="E110" s="53">
        <f t="shared" si="2"/>
        <v>0</v>
      </c>
    </row>
    <row r="111" spans="2:5" ht="13.5" thickBot="1">
      <c r="B111" s="157" t="s">
        <v>232</v>
      </c>
      <c r="C111" s="274">
        <v>177931.28</v>
      </c>
      <c r="D111" s="311">
        <v>194220</v>
      </c>
      <c r="E111" s="262">
        <f t="shared" si="2"/>
        <v>16288.720000000001</v>
      </c>
    </row>
    <row r="112" spans="2:5" ht="13.5" thickBot="1">
      <c r="B112" s="153"/>
      <c r="C112" s="286">
        <f>SUM(C104:C111)</f>
        <v>740656.1499999999</v>
      </c>
      <c r="D112" s="286">
        <f>SUM(D104:D111)</f>
        <v>783780.09</v>
      </c>
      <c r="E112" s="158">
        <f>SUM(E104:E111)</f>
        <v>43123.94000000002</v>
      </c>
    </row>
    <row r="113" spans="2:5" ht="13.5" thickBot="1">
      <c r="B113" s="363" t="s">
        <v>329</v>
      </c>
      <c r="C113" s="364"/>
      <c r="D113" s="364"/>
      <c r="E113" s="365"/>
    </row>
    <row r="114" spans="2:5" ht="12.75">
      <c r="B114" s="140" t="s">
        <v>285</v>
      </c>
      <c r="C114" s="141">
        <v>142928.78</v>
      </c>
      <c r="D114" s="155">
        <v>153245</v>
      </c>
      <c r="E114" s="242">
        <f aca="true" t="shared" si="3" ref="E114:E119">D114-C114</f>
        <v>10316.220000000001</v>
      </c>
    </row>
    <row r="115" spans="2:5" ht="12.75">
      <c r="B115" s="115" t="s">
        <v>637</v>
      </c>
      <c r="C115" s="5">
        <v>69353.13</v>
      </c>
      <c r="D115" s="33">
        <v>71517.9</v>
      </c>
      <c r="E115" s="57">
        <f t="shared" si="3"/>
        <v>2164.7699999999895</v>
      </c>
    </row>
    <row r="116" spans="2:5" ht="12.75">
      <c r="B116" s="220" t="s">
        <v>633</v>
      </c>
      <c r="C116" s="125">
        <v>25066.66</v>
      </c>
      <c r="D116" s="125">
        <v>26502.15</v>
      </c>
      <c r="E116" s="128">
        <f t="shared" si="3"/>
        <v>1435.4900000000016</v>
      </c>
    </row>
    <row r="117" spans="2:5" ht="12.75">
      <c r="B117" s="116" t="s">
        <v>816</v>
      </c>
      <c r="C117" s="94">
        <v>101319.44</v>
      </c>
      <c r="D117" s="83">
        <v>109857.03</v>
      </c>
      <c r="E117" s="57">
        <f t="shared" si="3"/>
        <v>8537.589999999997</v>
      </c>
    </row>
    <row r="118" spans="2:5" ht="12.75">
      <c r="B118" s="220" t="s">
        <v>811</v>
      </c>
      <c r="C118" s="94">
        <v>5910.43</v>
      </c>
      <c r="D118" s="83">
        <v>16143.38</v>
      </c>
      <c r="E118" s="57">
        <f t="shared" si="3"/>
        <v>10232.949999999999</v>
      </c>
    </row>
    <row r="119" spans="2:5" ht="13.5" thickBot="1">
      <c r="B119" s="156" t="s">
        <v>792</v>
      </c>
      <c r="C119" s="229">
        <v>900</v>
      </c>
      <c r="D119" s="229">
        <v>1400</v>
      </c>
      <c r="E119" s="219">
        <f t="shared" si="3"/>
        <v>500</v>
      </c>
    </row>
    <row r="120" spans="2:5" ht="13.5" thickBot="1">
      <c r="B120" s="153"/>
      <c r="C120" s="286">
        <f>SUM(C114:C119)</f>
        <v>345478.44</v>
      </c>
      <c r="D120" s="286">
        <f>SUM(D114:D119)</f>
        <v>378665.45999999996</v>
      </c>
      <c r="E120" s="158">
        <f>SUM(E114:E119)</f>
        <v>33187.01999999999</v>
      </c>
    </row>
    <row r="121" spans="2:5" ht="13.5" thickBot="1">
      <c r="B121" s="363" t="s">
        <v>87</v>
      </c>
      <c r="C121" s="364"/>
      <c r="D121" s="364"/>
      <c r="E121" s="365"/>
    </row>
    <row r="122" spans="2:5" ht="12.75">
      <c r="B122" s="140" t="s">
        <v>285</v>
      </c>
      <c r="C122" s="234">
        <f>365503.71+13.53</f>
        <v>365517.24000000005</v>
      </c>
      <c r="D122" s="155">
        <v>382923.69</v>
      </c>
      <c r="E122" s="242">
        <f aca="true" t="shared" si="4" ref="E122:E129">D122-C122</f>
        <v>17406.449999999953</v>
      </c>
    </row>
    <row r="123" spans="2:5" ht="12.75">
      <c r="B123" s="115" t="s">
        <v>637</v>
      </c>
      <c r="C123" s="10">
        <v>182290.3</v>
      </c>
      <c r="D123" s="34">
        <v>183003.34</v>
      </c>
      <c r="E123" s="57">
        <f t="shared" si="4"/>
        <v>713.0400000000081</v>
      </c>
    </row>
    <row r="124" spans="2:5" ht="12.75">
      <c r="B124" s="115" t="s">
        <v>633</v>
      </c>
      <c r="C124" s="67">
        <v>61734.94</v>
      </c>
      <c r="D124" s="83">
        <v>67347.95</v>
      </c>
      <c r="E124" s="57">
        <f t="shared" si="4"/>
        <v>5613.009999999995</v>
      </c>
    </row>
    <row r="125" spans="2:5" ht="12.75">
      <c r="B125" s="116" t="s">
        <v>364</v>
      </c>
      <c r="C125" s="94">
        <v>108889.89</v>
      </c>
      <c r="D125" s="83">
        <v>110873.76</v>
      </c>
      <c r="E125" s="57">
        <f>D125-C125</f>
        <v>1983.8699999999953</v>
      </c>
    </row>
    <row r="126" spans="2:5" ht="12.75" customHeight="1">
      <c r="B126" s="352" t="s">
        <v>1007</v>
      </c>
      <c r="C126" s="258">
        <v>6836.85</v>
      </c>
      <c r="D126" s="258">
        <v>6836.85</v>
      </c>
      <c r="E126" s="57">
        <f t="shared" si="4"/>
        <v>0</v>
      </c>
    </row>
    <row r="127" spans="2:5" ht="12.75">
      <c r="B127" s="116" t="s">
        <v>29</v>
      </c>
      <c r="C127" s="94">
        <f>2400+3600</f>
        <v>6000</v>
      </c>
      <c r="D127" s="83">
        <f>2400+3600</f>
        <v>6000</v>
      </c>
      <c r="E127" s="57">
        <f t="shared" si="4"/>
        <v>0</v>
      </c>
    </row>
    <row r="128" spans="2:5" ht="12.75">
      <c r="B128" s="269" t="s">
        <v>163</v>
      </c>
      <c r="C128" s="122">
        <v>331142.85</v>
      </c>
      <c r="D128" s="122">
        <v>360714.21</v>
      </c>
      <c r="E128" s="66">
        <f t="shared" si="4"/>
        <v>29571.360000000044</v>
      </c>
    </row>
    <row r="129" spans="2:5" ht="13.5" thickBot="1">
      <c r="B129" s="157" t="s">
        <v>805</v>
      </c>
      <c r="C129" s="225">
        <f>39223.03+58255.95+24752.85+19967.76+18035.91+8648.05+49042.26+1256.4+52289.25+24694.33</f>
        <v>296165.79</v>
      </c>
      <c r="D129" s="226">
        <f>36205.58+56968.24+28892.66+21019.68+18035.91+26744.29+49042.26+2512.8+49000.01+17682.07+32123.64</f>
        <v>338227.14</v>
      </c>
      <c r="E129" s="222">
        <f t="shared" si="4"/>
        <v>42061.350000000035</v>
      </c>
    </row>
    <row r="130" spans="2:5" ht="13.5" thickBot="1">
      <c r="B130" s="153"/>
      <c r="C130" s="152">
        <f>SUM(C122:C129)</f>
        <v>1358577.8599999999</v>
      </c>
      <c r="D130" s="138">
        <f>SUM(D122:D129)</f>
        <v>1455926.94</v>
      </c>
      <c r="E130" s="139">
        <f>SUM(E122:E129)</f>
        <v>97349.08000000003</v>
      </c>
    </row>
    <row r="131" spans="2:5" ht="13.5" thickBot="1">
      <c r="B131" s="366" t="s">
        <v>379</v>
      </c>
      <c r="C131" s="367"/>
      <c r="D131" s="367"/>
      <c r="E131" s="368"/>
    </row>
    <row r="132" spans="2:5" ht="13.5" thickBot="1">
      <c r="B132" s="153"/>
      <c r="C132" s="175">
        <f>C94+C102+C112+C120+C130</f>
        <v>3706437.58</v>
      </c>
      <c r="D132" s="175">
        <f>D94+D102+D112+D120+D130</f>
        <v>4016035.57</v>
      </c>
      <c r="E132" s="175">
        <f>E94+E102+E112+E120+E130</f>
        <v>309597.9900000001</v>
      </c>
    </row>
  </sheetData>
  <sheetProtection/>
  <mergeCells count="23">
    <mergeCell ref="A6:E6"/>
    <mergeCell ref="A21:D21"/>
    <mergeCell ref="A22:D22"/>
    <mergeCell ref="D26:E26"/>
    <mergeCell ref="A2:B2"/>
    <mergeCell ref="C2:E2"/>
    <mergeCell ref="C3:E3"/>
    <mergeCell ref="B4:E4"/>
    <mergeCell ref="D82:E82"/>
    <mergeCell ref="D83:E83"/>
    <mergeCell ref="D84:E84"/>
    <mergeCell ref="D85:E85"/>
    <mergeCell ref="D78:E78"/>
    <mergeCell ref="D79:E79"/>
    <mergeCell ref="D80:E80"/>
    <mergeCell ref="D81:E81"/>
    <mergeCell ref="B113:E113"/>
    <mergeCell ref="B131:E131"/>
    <mergeCell ref="B121:E121"/>
    <mergeCell ref="D86:E86"/>
    <mergeCell ref="B89:E89"/>
    <mergeCell ref="B95:E95"/>
    <mergeCell ref="B103:E103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.875" style="0" customWidth="1"/>
    <col min="2" max="2" width="53.75390625" style="0" customWidth="1"/>
    <col min="3" max="3" width="12.125" style="0" customWidth="1"/>
    <col min="4" max="4" width="12.25390625" style="0" customWidth="1"/>
    <col min="5" max="5" width="18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5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283</v>
      </c>
      <c r="C7" s="26"/>
      <c r="D7" s="24"/>
    </row>
    <row r="8" spans="1:4" ht="15">
      <c r="A8" s="26"/>
      <c r="B8" s="27" t="s">
        <v>115</v>
      </c>
      <c r="C8" s="38">
        <v>4069.9</v>
      </c>
      <c r="D8" s="92" t="s">
        <v>116</v>
      </c>
    </row>
    <row r="9" spans="1:4" ht="15">
      <c r="A9" s="26"/>
      <c r="B9" s="27" t="s">
        <v>654</v>
      </c>
      <c r="C9" s="93">
        <v>306.7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26.25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234">
        <f>503351.79+375</f>
        <v>503726.79</v>
      </c>
      <c r="D12" s="155">
        <f>485066.27+1216.49</f>
        <v>486282.76</v>
      </c>
      <c r="E12" s="242">
        <f aca="true" t="shared" si="0" ref="E12:E18">D12-C12</f>
        <v>-17444.02999999997</v>
      </c>
    </row>
    <row r="13" spans="1:5" ht="12.75">
      <c r="A13" s="84">
        <v>2</v>
      </c>
      <c r="B13" s="5" t="s">
        <v>637</v>
      </c>
      <c r="C13" s="10">
        <v>248519.83</v>
      </c>
      <c r="D13" s="34">
        <v>248532.12</v>
      </c>
      <c r="E13" s="57">
        <f t="shared" si="0"/>
        <v>12.290000000008149</v>
      </c>
    </row>
    <row r="14" spans="1:5" ht="12.75">
      <c r="A14" s="87">
        <v>3</v>
      </c>
      <c r="B14" s="5" t="s">
        <v>633</v>
      </c>
      <c r="C14" s="67">
        <v>62390.01</v>
      </c>
      <c r="D14" s="83">
        <v>61095.72</v>
      </c>
      <c r="E14" s="57">
        <f t="shared" si="0"/>
        <v>-1294.2900000000009</v>
      </c>
    </row>
    <row r="15" spans="1:5" ht="12.75">
      <c r="A15" s="84">
        <v>4</v>
      </c>
      <c r="B15" s="65" t="s">
        <v>364</v>
      </c>
      <c r="C15" s="94">
        <v>13417.13</v>
      </c>
      <c r="D15" s="83">
        <v>17084.06</v>
      </c>
      <c r="E15" s="57">
        <f t="shared" si="0"/>
        <v>3666.930000000002</v>
      </c>
    </row>
    <row r="16" spans="1:5" ht="12.75">
      <c r="A16" s="87">
        <v>5</v>
      </c>
      <c r="B16" s="351" t="s">
        <v>1210</v>
      </c>
      <c r="C16" s="258">
        <v>77873.09</v>
      </c>
      <c r="D16" s="258">
        <v>122050.66</v>
      </c>
      <c r="E16" s="66">
        <f t="shared" si="0"/>
        <v>44177.57000000001</v>
      </c>
    </row>
    <row r="17" spans="1:5" ht="12.75">
      <c r="A17" s="84">
        <v>6</v>
      </c>
      <c r="B17" s="65" t="s">
        <v>29</v>
      </c>
      <c r="C17" s="94">
        <f>2400+3600+162940.23+28599+22680</f>
        <v>220219.23</v>
      </c>
      <c r="D17" s="83">
        <f>2400+3300+33248.4+174123.11-1500+33432+30240</f>
        <v>275243.51</v>
      </c>
      <c r="E17" s="57">
        <f t="shared" si="0"/>
        <v>55024.28</v>
      </c>
    </row>
    <row r="18" spans="1:5" ht="13.5" thickBot="1">
      <c r="A18" s="87">
        <v>7</v>
      </c>
      <c r="B18" s="5" t="s">
        <v>805</v>
      </c>
      <c r="C18" s="67">
        <f>15713+9256.44+11692.43+9457.02</f>
        <v>46118.89</v>
      </c>
      <c r="D18" s="83">
        <f>26165.79+17473.02+11692.43+11823.84</f>
        <v>67155.08</v>
      </c>
      <c r="E18" s="57">
        <f t="shared" si="0"/>
        <v>21036.190000000002</v>
      </c>
    </row>
    <row r="19" spans="1:5" ht="13.5" thickBot="1">
      <c r="A19" s="208"/>
      <c r="B19" s="209"/>
      <c r="C19" s="135">
        <f>SUM(C12:C18)</f>
        <v>1172264.97</v>
      </c>
      <c r="D19" s="135">
        <f>SUM(D12:D18)</f>
        <v>1277443.9100000001</v>
      </c>
      <c r="E19" s="136">
        <f>SUM(E12:E18)</f>
        <v>105178.94000000005</v>
      </c>
    </row>
    <row r="20" spans="1:5" ht="12.75">
      <c r="A20" s="385" t="s">
        <v>793</v>
      </c>
      <c r="B20" s="386"/>
      <c r="C20" s="386"/>
      <c r="D20" s="386"/>
      <c r="E20" s="108">
        <f>E139</f>
        <v>254422.41000000015</v>
      </c>
    </row>
    <row r="21" spans="1:5" ht="12.75">
      <c r="A21" s="387" t="s">
        <v>794</v>
      </c>
      <c r="B21" s="384"/>
      <c r="C21" s="384"/>
      <c r="D21" s="384"/>
      <c r="E21" s="259">
        <v>34057.9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25.5">
      <c r="A24" s="86">
        <v>1</v>
      </c>
      <c r="B24" s="64" t="s">
        <v>477</v>
      </c>
      <c r="C24" s="80">
        <f>C64</f>
        <v>406009</v>
      </c>
      <c r="D24" s="396" t="s">
        <v>640</v>
      </c>
      <c r="E24" s="397"/>
    </row>
    <row r="25" spans="1:5" ht="12.75" customHeight="1" thickBot="1">
      <c r="A25" s="91">
        <v>2</v>
      </c>
      <c r="B25" s="25" t="s">
        <v>641</v>
      </c>
      <c r="C25" s="102">
        <f>C72</f>
        <v>21505.51</v>
      </c>
      <c r="D25" s="398"/>
      <c r="E25" s="399"/>
    </row>
    <row r="26" spans="1:5" ht="12.75">
      <c r="A26" s="84">
        <v>3</v>
      </c>
      <c r="B26" s="9" t="s">
        <v>649</v>
      </c>
      <c r="C26" s="354">
        <v>2985.37</v>
      </c>
      <c r="D26" s="406" t="s">
        <v>642</v>
      </c>
      <c r="E26" s="407"/>
    </row>
    <row r="27" spans="1:5" ht="12.75">
      <c r="A27" s="84">
        <v>4</v>
      </c>
      <c r="B27" s="9" t="s">
        <v>122</v>
      </c>
      <c r="C27" s="354">
        <f>(C8*0.55*12)</f>
        <v>26861.340000000004</v>
      </c>
      <c r="D27" s="408"/>
      <c r="E27" s="409"/>
    </row>
    <row r="28" spans="1:5" ht="12.75">
      <c r="A28" s="84">
        <v>5</v>
      </c>
      <c r="B28" s="9" t="s">
        <v>658</v>
      </c>
      <c r="C28" s="355">
        <v>47452.08</v>
      </c>
      <c r="D28" s="410" t="s">
        <v>643</v>
      </c>
      <c r="E28" s="411"/>
    </row>
    <row r="29" spans="1:5" ht="25.5">
      <c r="A29" s="91">
        <v>6</v>
      </c>
      <c r="B29" s="25" t="s">
        <v>1128</v>
      </c>
      <c r="C29" s="356">
        <v>1200</v>
      </c>
      <c r="D29" s="400" t="s">
        <v>644</v>
      </c>
      <c r="E29" s="401"/>
    </row>
    <row r="30" spans="1:5" ht="25.5">
      <c r="A30" s="91">
        <v>7</v>
      </c>
      <c r="B30" s="25" t="s">
        <v>474</v>
      </c>
      <c r="C30" s="356">
        <v>7900</v>
      </c>
      <c r="D30" s="402" t="s">
        <v>645</v>
      </c>
      <c r="E30" s="403"/>
    </row>
    <row r="31" spans="1:5" ht="26.25" thickBot="1">
      <c r="A31" s="91">
        <v>8</v>
      </c>
      <c r="B31" s="25" t="s">
        <v>476</v>
      </c>
      <c r="C31" s="355">
        <v>99963</v>
      </c>
      <c r="D31" s="404"/>
      <c r="E31" s="405"/>
    </row>
    <row r="32" spans="1:5" ht="12.75">
      <c r="A32" s="91">
        <v>9</v>
      </c>
      <c r="B32" s="25" t="s">
        <v>1214</v>
      </c>
      <c r="C32" s="96">
        <v>123493.11</v>
      </c>
      <c r="E32" s="29"/>
    </row>
    <row r="33" spans="1:5" ht="25.5">
      <c r="A33" s="91">
        <v>10</v>
      </c>
      <c r="B33" s="25" t="s">
        <v>327</v>
      </c>
      <c r="C33" s="79">
        <v>3911.81</v>
      </c>
      <c r="E33" s="29"/>
    </row>
    <row r="34" spans="1:5" ht="12.75">
      <c r="A34" s="84">
        <v>11</v>
      </c>
      <c r="B34" s="25" t="s">
        <v>1175</v>
      </c>
      <c r="C34" s="79">
        <v>4461.92</v>
      </c>
      <c r="E34" s="29"/>
    </row>
    <row r="35" spans="1:5" ht="25.5">
      <c r="A35" s="91">
        <v>12</v>
      </c>
      <c r="B35" s="25" t="s">
        <v>1060</v>
      </c>
      <c r="C35" s="96">
        <v>3238.9</v>
      </c>
      <c r="E35" s="29"/>
    </row>
    <row r="36" spans="1:5" ht="12.75">
      <c r="A36" s="91">
        <v>13</v>
      </c>
      <c r="B36" s="25" t="s">
        <v>356</v>
      </c>
      <c r="C36" s="349">
        <v>600</v>
      </c>
      <c r="E36" s="29"/>
    </row>
    <row r="37" spans="1:3" ht="12.75">
      <c r="A37" s="50"/>
      <c r="B37" s="20" t="s">
        <v>629</v>
      </c>
      <c r="C37" s="51">
        <f>SUM(C24:C36)</f>
        <v>749582.0400000002</v>
      </c>
    </row>
    <row r="38" spans="1:3" ht="12.75">
      <c r="A38" s="49"/>
      <c r="B38" s="8" t="s">
        <v>965</v>
      </c>
      <c r="C38" s="45"/>
    </row>
    <row r="39" spans="1:3" ht="12.75">
      <c r="A39" s="84">
        <v>1</v>
      </c>
      <c r="B39" s="9" t="s">
        <v>228</v>
      </c>
      <c r="C39" s="48">
        <f>(C19)*15%</f>
        <v>175839.7455</v>
      </c>
    </row>
    <row r="40" spans="1:3" ht="12.75">
      <c r="A40" s="84">
        <v>2</v>
      </c>
      <c r="B40" s="9" t="s">
        <v>813</v>
      </c>
      <c r="C40" s="48">
        <f>C78</f>
        <v>8814.816538379588</v>
      </c>
    </row>
    <row r="41" spans="1:3" ht="12.75">
      <c r="A41" s="84">
        <v>3</v>
      </c>
      <c r="B41" s="9" t="s">
        <v>653</v>
      </c>
      <c r="C41" s="48">
        <f>C79</f>
        <v>9574.196885936071</v>
      </c>
    </row>
    <row r="42" spans="1:3" ht="12.75">
      <c r="A42" s="84">
        <v>4</v>
      </c>
      <c r="B42" s="9" t="s">
        <v>1114</v>
      </c>
      <c r="C42" s="52">
        <f>C80</f>
        <v>19436.0024775179</v>
      </c>
    </row>
    <row r="43" spans="1:3" ht="12.75">
      <c r="A43" s="84">
        <v>5</v>
      </c>
      <c r="B43" s="9" t="s">
        <v>162</v>
      </c>
      <c r="C43" s="52">
        <f>C81</f>
        <v>15271.837142955585</v>
      </c>
    </row>
    <row r="44" spans="1:3" ht="12.75">
      <c r="A44" s="84">
        <v>6</v>
      </c>
      <c r="B44" s="9" t="s">
        <v>1051</v>
      </c>
      <c r="C44" s="48">
        <f>C82+C84+C85+C86+C83</f>
        <v>25916.243068684962</v>
      </c>
    </row>
    <row r="45" spans="1:3" ht="12.75">
      <c r="A45" s="49"/>
      <c r="B45" s="74" t="s">
        <v>809</v>
      </c>
      <c r="C45" s="53"/>
    </row>
    <row r="46" spans="1:3" ht="12.75">
      <c r="A46" s="49"/>
      <c r="B46" s="5" t="s">
        <v>655</v>
      </c>
      <c r="C46" s="53"/>
    </row>
    <row r="47" spans="1:3" ht="12.75">
      <c r="A47" s="49"/>
      <c r="B47" s="74" t="s">
        <v>656</v>
      </c>
      <c r="C47" s="53"/>
    </row>
    <row r="48" spans="1:3" ht="12.75">
      <c r="A48" s="49"/>
      <c r="B48" s="74" t="s">
        <v>808</v>
      </c>
      <c r="C48" s="53"/>
    </row>
    <row r="49" spans="1:3" ht="12.75">
      <c r="A49" s="50"/>
      <c r="B49" s="20" t="s">
        <v>629</v>
      </c>
      <c r="C49" s="51">
        <f>C39+C40+C41+C42+C43+C44</f>
        <v>254852.8416134741</v>
      </c>
    </row>
    <row r="50" spans="1:3" ht="12.75">
      <c r="A50" s="49"/>
      <c r="B50" s="7" t="s">
        <v>966</v>
      </c>
      <c r="C50" s="45"/>
    </row>
    <row r="51" spans="1:3" ht="12.75">
      <c r="A51" s="84">
        <v>1</v>
      </c>
      <c r="B51" s="9" t="s">
        <v>631</v>
      </c>
      <c r="C51" s="48">
        <f>C19*2%</f>
        <v>23445.2994</v>
      </c>
    </row>
    <row r="52" spans="1:3" ht="12.75">
      <c r="A52" s="84">
        <v>2</v>
      </c>
      <c r="B52" s="9" t="s">
        <v>391</v>
      </c>
      <c r="C52" s="48">
        <f>C53</f>
        <v>68929.180236</v>
      </c>
    </row>
    <row r="53" spans="1:4" ht="12.75">
      <c r="A53" s="49"/>
      <c r="B53" s="5" t="s">
        <v>334</v>
      </c>
      <c r="C53" s="41">
        <f>(C19-C51)*6%</f>
        <v>68929.180236</v>
      </c>
      <c r="D53" s="19"/>
    </row>
    <row r="54" spans="1:3" ht="13.5" thickBot="1">
      <c r="A54" s="54"/>
      <c r="B54" s="55" t="s">
        <v>967</v>
      </c>
      <c r="C54" s="56">
        <f>C51+C52</f>
        <v>92374.479636</v>
      </c>
    </row>
    <row r="55" spans="1:3" ht="12.75">
      <c r="A55" s="23"/>
      <c r="B55" s="4" t="s">
        <v>288</v>
      </c>
      <c r="C55" s="11">
        <f>C37+C49+C54</f>
        <v>1096809.3612494743</v>
      </c>
    </row>
    <row r="56" spans="1:3" ht="12.75">
      <c r="A56" s="23"/>
      <c r="B56" s="77"/>
      <c r="C56" s="1"/>
    </row>
    <row r="57" spans="1:3" ht="15">
      <c r="A57" s="23"/>
      <c r="B57" s="14" t="s">
        <v>975</v>
      </c>
      <c r="C57" s="1">
        <v>613834.06</v>
      </c>
    </row>
    <row r="58" spans="1:3" ht="15">
      <c r="A58" s="23"/>
      <c r="B58" s="14" t="s">
        <v>94</v>
      </c>
      <c r="C58" s="11">
        <f>C19+C57-C55</f>
        <v>689289.6687505257</v>
      </c>
    </row>
    <row r="59" ht="12.75">
      <c r="B59" s="1" t="s">
        <v>85</v>
      </c>
    </row>
    <row r="60" ht="15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972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C8+C9</f>
        <v>4376.6</v>
      </c>
      <c r="E63" t="s">
        <v>116</v>
      </c>
    </row>
    <row r="64" spans="1:5" ht="12.75">
      <c r="A64" s="60" t="s">
        <v>218</v>
      </c>
      <c r="B64" s="39" t="s">
        <v>165</v>
      </c>
      <c r="C64" s="47">
        <v>406009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35549.42</v>
      </c>
      <c r="D66" s="15"/>
      <c r="E66" s="15"/>
    </row>
    <row r="67" spans="1:5" ht="12.75">
      <c r="A67" s="62" t="s">
        <v>166</v>
      </c>
      <c r="B67" s="6" t="s">
        <v>341</v>
      </c>
      <c r="C67" s="41">
        <v>28371.15</v>
      </c>
      <c r="D67" s="15"/>
      <c r="E67" s="15"/>
    </row>
    <row r="68" spans="1:5" ht="12.75">
      <c r="A68" s="62" t="s">
        <v>166</v>
      </c>
      <c r="B68" s="6" t="s">
        <v>475</v>
      </c>
      <c r="C68" s="41">
        <v>23000</v>
      </c>
      <c r="D68" s="15"/>
      <c r="E68" s="15"/>
    </row>
    <row r="69" spans="1:5" ht="12.75">
      <c r="A69" s="62" t="s">
        <v>166</v>
      </c>
      <c r="B69" s="6" t="s">
        <v>634</v>
      </c>
      <c r="C69" s="41">
        <v>72371.88</v>
      </c>
      <c r="D69" s="15"/>
      <c r="E69" s="15"/>
    </row>
    <row r="70" spans="1:5" ht="12.75">
      <c r="A70" s="62" t="s">
        <v>166</v>
      </c>
      <c r="B70" s="6" t="s">
        <v>226</v>
      </c>
      <c r="C70" s="41">
        <v>63996.26</v>
      </c>
      <c r="D70" s="15"/>
      <c r="E70" s="15"/>
    </row>
    <row r="71" spans="1:5" ht="13.5" thickBot="1">
      <c r="A71" s="63" t="s">
        <v>166</v>
      </c>
      <c r="B71" s="42" t="s">
        <v>818</v>
      </c>
      <c r="C71" s="46">
        <v>4295.87</v>
      </c>
      <c r="D71" s="15"/>
      <c r="E71" s="15"/>
    </row>
    <row r="72" spans="1:5" ht="12.75">
      <c r="A72" s="60" t="s">
        <v>328</v>
      </c>
      <c r="B72" s="39" t="s">
        <v>343</v>
      </c>
      <c r="C72" s="47">
        <v>21505.51</v>
      </c>
      <c r="D72" s="15"/>
      <c r="E72" s="12"/>
    </row>
    <row r="73" spans="1:5" ht="12.75">
      <c r="A73" s="61"/>
      <c r="B73" s="6" t="s">
        <v>118</v>
      </c>
      <c r="C73" s="41"/>
      <c r="D73" s="15"/>
      <c r="E73" s="12"/>
    </row>
    <row r="74" spans="1:5" ht="12.75">
      <c r="A74" s="62" t="s">
        <v>166</v>
      </c>
      <c r="B74" s="6" t="s">
        <v>380</v>
      </c>
      <c r="C74" s="41">
        <v>487</v>
      </c>
      <c r="D74" s="15"/>
      <c r="E74" s="12"/>
    </row>
    <row r="75" spans="1:5" ht="13.5" thickBot="1">
      <c r="A75" s="63" t="s">
        <v>166</v>
      </c>
      <c r="B75" s="42" t="s">
        <v>818</v>
      </c>
      <c r="C75" s="46">
        <v>232.72</v>
      </c>
      <c r="D75" s="15"/>
      <c r="E75" s="15"/>
    </row>
    <row r="76" spans="1:5" ht="12.75">
      <c r="A76" s="300" t="s">
        <v>787</v>
      </c>
      <c r="B76" s="97" t="s">
        <v>1050</v>
      </c>
      <c r="C76" s="82">
        <f>C77+C78+C80+C79+C81+C82+C84+C85+C86+C83</f>
        <v>254852.8416134741</v>
      </c>
      <c r="D76" s="15"/>
      <c r="E76" s="12"/>
    </row>
    <row r="77" spans="1:5" ht="13.5" thickBot="1">
      <c r="A77" s="40" t="s">
        <v>166</v>
      </c>
      <c r="B77" s="6" t="s">
        <v>227</v>
      </c>
      <c r="C77" s="41">
        <f>C39</f>
        <v>175839.7455</v>
      </c>
      <c r="D77" s="15"/>
      <c r="E77" s="12"/>
    </row>
    <row r="78" spans="1:5" ht="12.75">
      <c r="A78" s="40" t="s">
        <v>166</v>
      </c>
      <c r="B78" s="6" t="s">
        <v>370</v>
      </c>
      <c r="C78" s="317">
        <f>401410.25/185335.63*C8</f>
        <v>8814.816538379588</v>
      </c>
      <c r="D78" s="375" t="s">
        <v>465</v>
      </c>
      <c r="E78" s="376"/>
    </row>
    <row r="79" spans="1:5" ht="12.75">
      <c r="A79" s="73" t="s">
        <v>166</v>
      </c>
      <c r="B79" s="74" t="s">
        <v>397</v>
      </c>
      <c r="C79" s="317">
        <f>435991.01/185335.63*C8</f>
        <v>9574.196885936071</v>
      </c>
      <c r="D79" s="377" t="s">
        <v>466</v>
      </c>
      <c r="E79" s="378"/>
    </row>
    <row r="80" spans="1:5" ht="12.75">
      <c r="A80" s="71" t="s">
        <v>166</v>
      </c>
      <c r="B80" s="72" t="s">
        <v>416</v>
      </c>
      <c r="C80" s="317">
        <f>1082167/226605.83*C8</f>
        <v>19436.0024775179</v>
      </c>
      <c r="D80" s="379" t="s">
        <v>467</v>
      </c>
      <c r="E80" s="380"/>
    </row>
    <row r="81" spans="1:5" ht="25.5">
      <c r="A81" s="73" t="s">
        <v>166</v>
      </c>
      <c r="B81" s="72" t="s">
        <v>231</v>
      </c>
      <c r="C81" s="318">
        <f>845684.35/242356.05*D63</f>
        <v>15271.837142955585</v>
      </c>
      <c r="D81" s="381" t="s">
        <v>468</v>
      </c>
      <c r="E81" s="382"/>
    </row>
    <row r="82" spans="1:5" ht="12.75">
      <c r="A82" s="73" t="s">
        <v>166</v>
      </c>
      <c r="B82" s="74" t="s">
        <v>808</v>
      </c>
      <c r="C82" s="318">
        <f>642562.44/242356.05*D63</f>
        <v>11603.749008551675</v>
      </c>
      <c r="D82" s="371" t="s">
        <v>469</v>
      </c>
      <c r="E82" s="372"/>
    </row>
    <row r="83" spans="1:5" ht="12.75">
      <c r="A83" s="73" t="s">
        <v>166</v>
      </c>
      <c r="B83" s="74" t="s">
        <v>826</v>
      </c>
      <c r="C83" s="318">
        <f>51615/196822.43*D63</f>
        <v>1147.7259426174141</v>
      </c>
      <c r="D83" s="371" t="s">
        <v>470</v>
      </c>
      <c r="E83" s="372"/>
    </row>
    <row r="84" spans="1:5" ht="12.75">
      <c r="A84" s="73" t="s">
        <v>166</v>
      </c>
      <c r="B84" s="74" t="s">
        <v>655</v>
      </c>
      <c r="C84" s="318">
        <f>129011.28/196822.43*D63</f>
        <v>2868.731821103926</v>
      </c>
      <c r="D84" s="371" t="s">
        <v>471</v>
      </c>
      <c r="E84" s="372"/>
    </row>
    <row r="85" spans="1:5" ht="12.75">
      <c r="A85" s="73" t="s">
        <v>166</v>
      </c>
      <c r="B85" s="74" t="s">
        <v>656</v>
      </c>
      <c r="C85" s="318">
        <f>164128/196822.43*D63</f>
        <v>3649.5972781151013</v>
      </c>
      <c r="D85" s="373" t="s">
        <v>472</v>
      </c>
      <c r="E85" s="374"/>
    </row>
    <row r="86" spans="1:5" ht="13.5" thickBot="1">
      <c r="A86" s="75" t="s">
        <v>166</v>
      </c>
      <c r="B86" s="76" t="s">
        <v>809</v>
      </c>
      <c r="C86" s="319">
        <f>298900.58/196822.43*D63</f>
        <v>6646.439018296848</v>
      </c>
      <c r="D86" s="369" t="s">
        <v>473</v>
      </c>
      <c r="E86" s="370"/>
    </row>
    <row r="87" ht="13.5" thickBot="1"/>
    <row r="88" spans="2:5" ht="26.25" thickBot="1">
      <c r="B88" s="143"/>
      <c r="C88" s="159" t="s">
        <v>104</v>
      </c>
      <c r="D88" s="161" t="s">
        <v>306</v>
      </c>
      <c r="E88" s="160" t="s">
        <v>1115</v>
      </c>
    </row>
    <row r="89" spans="2:5" ht="13.5" thickBot="1">
      <c r="B89" s="363" t="s">
        <v>1196</v>
      </c>
      <c r="C89" s="364"/>
      <c r="D89" s="364"/>
      <c r="E89" s="365"/>
    </row>
    <row r="90" spans="2:5" ht="12.75">
      <c r="B90" s="140" t="s">
        <v>285</v>
      </c>
      <c r="C90" s="141">
        <v>262180.52</v>
      </c>
      <c r="D90" s="155">
        <v>306733.15</v>
      </c>
      <c r="E90" s="213">
        <f aca="true" t="shared" si="1" ref="E90:E95">D90-C90</f>
        <v>44552.630000000005</v>
      </c>
    </row>
    <row r="91" spans="2:5" ht="12.75">
      <c r="B91" s="115" t="s">
        <v>637</v>
      </c>
      <c r="C91" s="5">
        <v>153495.64</v>
      </c>
      <c r="D91" s="33">
        <v>177527.06</v>
      </c>
      <c r="E91" s="214">
        <f t="shared" si="1"/>
        <v>24031.419999999984</v>
      </c>
    </row>
    <row r="92" spans="2:5" ht="12.75">
      <c r="B92" s="115" t="s">
        <v>215</v>
      </c>
      <c r="C92" s="5">
        <v>4162.73</v>
      </c>
      <c r="D92" s="34">
        <v>4874.4</v>
      </c>
      <c r="E92" s="214">
        <f t="shared" si="1"/>
        <v>711.6700000000001</v>
      </c>
    </row>
    <row r="93" spans="2:5" ht="12.75">
      <c r="B93" s="116" t="s">
        <v>214</v>
      </c>
      <c r="C93" s="65">
        <v>52541.96</v>
      </c>
      <c r="D93" s="83">
        <v>52541.96</v>
      </c>
      <c r="E93" s="57">
        <f t="shared" si="1"/>
        <v>0</v>
      </c>
    </row>
    <row r="94" spans="2:5" ht="13.5" thickBot="1">
      <c r="B94" s="157" t="s">
        <v>232</v>
      </c>
      <c r="C94" s="95">
        <v>9586.36</v>
      </c>
      <c r="D94" s="95">
        <v>6533.01</v>
      </c>
      <c r="E94" s="216">
        <f t="shared" si="1"/>
        <v>-3053.3500000000004</v>
      </c>
    </row>
    <row r="95" spans="2:5" ht="13.5" thickBot="1">
      <c r="B95" s="177"/>
      <c r="C95" s="179">
        <f>SUM(C90:C94)</f>
        <v>481967.21</v>
      </c>
      <c r="D95" s="292">
        <f>SUM(D90:D94)</f>
        <v>548209.5800000001</v>
      </c>
      <c r="E95" s="293">
        <f t="shared" si="1"/>
        <v>66242.37000000005</v>
      </c>
    </row>
    <row r="96" spans="2:5" ht="13.5" thickBot="1">
      <c r="B96" s="363" t="s">
        <v>804</v>
      </c>
      <c r="C96" s="364"/>
      <c r="D96" s="364"/>
      <c r="E96" s="365"/>
    </row>
    <row r="97" spans="2:5" ht="12.75">
      <c r="B97" s="140" t="s">
        <v>285</v>
      </c>
      <c r="C97" s="141">
        <v>363846.97</v>
      </c>
      <c r="D97" s="155">
        <v>382136.97</v>
      </c>
      <c r="E97" s="213">
        <f>D97-C97</f>
        <v>18290</v>
      </c>
    </row>
    <row r="98" spans="2:5" ht="12.75">
      <c r="B98" s="115" t="s">
        <v>637</v>
      </c>
      <c r="C98" s="5">
        <v>186853.94</v>
      </c>
      <c r="D98" s="33">
        <v>192630.85</v>
      </c>
      <c r="E98" s="214">
        <f>D98-C98</f>
        <v>5776.9100000000035</v>
      </c>
    </row>
    <row r="99" spans="2:5" ht="12.75">
      <c r="B99" s="115" t="s">
        <v>111</v>
      </c>
      <c r="C99" s="5">
        <v>22258.77</v>
      </c>
      <c r="D99" s="34">
        <v>26744.44</v>
      </c>
      <c r="E99" s="214">
        <f>D99-C99</f>
        <v>4485.669999999998</v>
      </c>
    </row>
    <row r="100" spans="2:5" ht="12.75">
      <c r="B100" s="116" t="s">
        <v>214</v>
      </c>
      <c r="C100" s="65">
        <v>78242.15</v>
      </c>
      <c r="D100" s="83">
        <v>80694.95</v>
      </c>
      <c r="E100" s="214">
        <f>D100-C100</f>
        <v>2452.800000000003</v>
      </c>
    </row>
    <row r="101" spans="2:5" ht="13.5" thickBot="1">
      <c r="B101" s="157" t="s">
        <v>232</v>
      </c>
      <c r="C101" s="95">
        <v>34222.85</v>
      </c>
      <c r="D101" s="95">
        <v>43106.92</v>
      </c>
      <c r="E101" s="228">
        <f>D101-C101</f>
        <v>8884.07</v>
      </c>
    </row>
    <row r="102" spans="2:5" ht="13.5" thickBot="1">
      <c r="B102" s="187"/>
      <c r="C102" s="188">
        <f>SUM(C97:C101)</f>
        <v>685424.6799999999</v>
      </c>
      <c r="D102" s="217">
        <f>SUM(D97:D101)</f>
        <v>725314.1299999999</v>
      </c>
      <c r="E102" s="217">
        <f>SUM(E97:E101)</f>
        <v>39889.450000000004</v>
      </c>
    </row>
    <row r="103" spans="2:5" ht="13.5" thickBot="1">
      <c r="B103" s="363" t="s">
        <v>382</v>
      </c>
      <c r="C103" s="364"/>
      <c r="D103" s="364"/>
      <c r="E103" s="365"/>
    </row>
    <row r="104" spans="2:5" ht="12.75">
      <c r="B104" s="140" t="s">
        <v>285</v>
      </c>
      <c r="C104" s="212">
        <v>433879.69</v>
      </c>
      <c r="D104" s="223">
        <v>424873.2</v>
      </c>
      <c r="E104" s="294">
        <f aca="true" t="shared" si="2" ref="E104:E109">D104-C104</f>
        <v>-9006.48999999999</v>
      </c>
    </row>
    <row r="105" spans="2:5" ht="12.75">
      <c r="B105" s="115" t="s">
        <v>637</v>
      </c>
      <c r="C105" s="18">
        <v>209177.77</v>
      </c>
      <c r="D105" s="18">
        <v>206576.28</v>
      </c>
      <c r="E105" s="128">
        <f t="shared" si="2"/>
        <v>-2601.4899999999907</v>
      </c>
    </row>
    <row r="106" spans="2:5" ht="12.75">
      <c r="B106" s="115" t="s">
        <v>408</v>
      </c>
      <c r="C106" s="18">
        <v>44682.11</v>
      </c>
      <c r="D106" s="18">
        <v>42150.89</v>
      </c>
      <c r="E106" s="128">
        <f t="shared" si="2"/>
        <v>-2531.220000000001</v>
      </c>
    </row>
    <row r="107" spans="2:5" ht="12.75">
      <c r="B107" s="115" t="s">
        <v>232</v>
      </c>
      <c r="C107" s="18">
        <v>35018.17</v>
      </c>
      <c r="D107" s="18">
        <v>40458.8</v>
      </c>
      <c r="E107" s="128">
        <f t="shared" si="2"/>
        <v>5440.630000000005</v>
      </c>
    </row>
    <row r="108" spans="2:5" ht="12.75">
      <c r="B108" s="116" t="s">
        <v>428</v>
      </c>
      <c r="C108" s="103">
        <v>29000</v>
      </c>
      <c r="D108" s="103">
        <v>29000</v>
      </c>
      <c r="E108" s="57">
        <f t="shared" si="2"/>
        <v>0</v>
      </c>
    </row>
    <row r="109" spans="2:5" ht="13.5" thickBot="1">
      <c r="B109" s="157" t="s">
        <v>279</v>
      </c>
      <c r="C109" s="215">
        <v>103477.6</v>
      </c>
      <c r="D109" s="215">
        <v>133026.29</v>
      </c>
      <c r="E109" s="222">
        <f t="shared" si="2"/>
        <v>29548.690000000002</v>
      </c>
    </row>
    <row r="110" spans="2:5" ht="13.5" thickBot="1">
      <c r="B110" s="143"/>
      <c r="C110" s="174">
        <f>SUM(C104:C109)</f>
        <v>855235.34</v>
      </c>
      <c r="D110" s="174">
        <f>SUM(D104:D109)</f>
        <v>876085.4600000001</v>
      </c>
      <c r="E110" s="174">
        <f>SUM(E104:E109)</f>
        <v>20850.120000000024</v>
      </c>
    </row>
    <row r="111" spans="2:5" ht="13.5" thickBot="1">
      <c r="B111" s="363" t="s">
        <v>382</v>
      </c>
      <c r="C111" s="364"/>
      <c r="D111" s="364"/>
      <c r="E111" s="365"/>
    </row>
    <row r="112" spans="2:5" ht="12.75">
      <c r="B112" s="140" t="s">
        <v>285</v>
      </c>
      <c r="C112" s="212">
        <v>430414.75</v>
      </c>
      <c r="D112" s="285">
        <v>452401.18</v>
      </c>
      <c r="E112" s="294">
        <f aca="true" t="shared" si="3" ref="E112:E118">D112-C112</f>
        <v>21986.429999999993</v>
      </c>
    </row>
    <row r="113" spans="2:5" ht="12.75">
      <c r="B113" s="115" t="s">
        <v>637</v>
      </c>
      <c r="C113" s="18">
        <v>208934.32</v>
      </c>
      <c r="D113" s="36">
        <v>219974.89</v>
      </c>
      <c r="E113" s="128">
        <f t="shared" si="3"/>
        <v>11040.570000000007</v>
      </c>
    </row>
    <row r="114" spans="2:5" ht="12.75">
      <c r="B114" s="115" t="s">
        <v>633</v>
      </c>
      <c r="C114" s="18">
        <v>39596.39</v>
      </c>
      <c r="D114" s="88">
        <v>45383.04</v>
      </c>
      <c r="E114" s="128">
        <f t="shared" si="3"/>
        <v>5786.6500000000015</v>
      </c>
    </row>
    <row r="115" spans="2:5" ht="12.75">
      <c r="B115" s="115" t="s">
        <v>1200</v>
      </c>
      <c r="C115" s="89">
        <v>19240.87</v>
      </c>
      <c r="D115" s="90">
        <v>19240.87</v>
      </c>
      <c r="E115" s="128">
        <f t="shared" si="3"/>
        <v>0</v>
      </c>
    </row>
    <row r="116" spans="2:5" ht="12.75">
      <c r="B116" s="116" t="s">
        <v>816</v>
      </c>
      <c r="C116" s="103">
        <v>47922.52</v>
      </c>
      <c r="D116" s="90">
        <v>53439.42</v>
      </c>
      <c r="E116" s="128">
        <f t="shared" si="3"/>
        <v>5516.9000000000015</v>
      </c>
    </row>
    <row r="117" spans="2:5" ht="12.75">
      <c r="B117" s="278" t="s">
        <v>113</v>
      </c>
      <c r="C117" s="106">
        <v>403.58</v>
      </c>
      <c r="D117" s="127">
        <v>0</v>
      </c>
      <c r="E117" s="57">
        <f t="shared" si="3"/>
        <v>-403.58</v>
      </c>
    </row>
    <row r="118" spans="2:5" ht="13.5" thickBot="1">
      <c r="B118" s="157" t="s">
        <v>279</v>
      </c>
      <c r="C118" s="263">
        <v>137908.36</v>
      </c>
      <c r="D118" s="263">
        <v>105906.87</v>
      </c>
      <c r="E118" s="222">
        <f t="shared" si="3"/>
        <v>-32001.48999999999</v>
      </c>
    </row>
    <row r="119" spans="2:5" ht="13.5" thickBot="1">
      <c r="B119" s="143"/>
      <c r="C119" s="174">
        <f>SUM(C112:C118)</f>
        <v>884420.79</v>
      </c>
      <c r="D119" s="174">
        <f>SUM(D112:D118)</f>
        <v>896346.2700000001</v>
      </c>
      <c r="E119" s="174">
        <f>SUM(E112:E118)</f>
        <v>11925.48000000001</v>
      </c>
    </row>
    <row r="120" spans="2:5" ht="13.5" thickBot="1">
      <c r="B120" s="363" t="s">
        <v>823</v>
      </c>
      <c r="C120" s="364"/>
      <c r="D120" s="364"/>
      <c r="E120" s="365"/>
    </row>
    <row r="121" spans="2:5" ht="12.75">
      <c r="B121" s="140" t="s">
        <v>285</v>
      </c>
      <c r="C121" s="141">
        <v>243900.33</v>
      </c>
      <c r="D121" s="155">
        <v>241145.6</v>
      </c>
      <c r="E121" s="242">
        <f aca="true" t="shared" si="4" ref="E121:E127">D121-C121</f>
        <v>-2754.7299999999814</v>
      </c>
    </row>
    <row r="122" spans="2:5" ht="12.75">
      <c r="B122" s="115" t="s">
        <v>637</v>
      </c>
      <c r="C122" s="5">
        <v>118803.08</v>
      </c>
      <c r="D122" s="33">
        <v>117263.56</v>
      </c>
      <c r="E122" s="57">
        <f t="shared" si="4"/>
        <v>-1539.520000000004</v>
      </c>
    </row>
    <row r="123" spans="2:5" ht="12.75">
      <c r="B123" s="115" t="s">
        <v>633</v>
      </c>
      <c r="C123" s="65">
        <v>23055.41</v>
      </c>
      <c r="D123" s="70">
        <v>24109.74</v>
      </c>
      <c r="E123" s="57">
        <f t="shared" si="4"/>
        <v>1054.3300000000017</v>
      </c>
    </row>
    <row r="124" spans="2:5" ht="12.75">
      <c r="B124" s="116" t="s">
        <v>816</v>
      </c>
      <c r="C124" s="94">
        <v>30840.03</v>
      </c>
      <c r="D124" s="83">
        <v>27664.56</v>
      </c>
      <c r="E124" s="57">
        <f t="shared" si="4"/>
        <v>-3175.4699999999975</v>
      </c>
    </row>
    <row r="125" spans="2:5" ht="12.75">
      <c r="B125" s="116" t="s">
        <v>415</v>
      </c>
      <c r="C125" s="94">
        <v>81.56</v>
      </c>
      <c r="D125" s="83">
        <v>0</v>
      </c>
      <c r="E125" s="57">
        <f t="shared" si="4"/>
        <v>-81.56</v>
      </c>
    </row>
    <row r="126" spans="2:5" ht="12.75">
      <c r="B126" s="278" t="s">
        <v>792</v>
      </c>
      <c r="C126" s="122">
        <v>1500</v>
      </c>
      <c r="D126" s="122">
        <v>2000</v>
      </c>
      <c r="E126" s="123">
        <f t="shared" si="4"/>
        <v>500</v>
      </c>
    </row>
    <row r="127" spans="2:5" ht="13.5" thickBot="1">
      <c r="B127" s="157" t="s">
        <v>279</v>
      </c>
      <c r="C127" s="274">
        <v>59690</v>
      </c>
      <c r="D127" s="277">
        <v>76023</v>
      </c>
      <c r="E127" s="219">
        <f t="shared" si="4"/>
        <v>16333</v>
      </c>
    </row>
    <row r="128" spans="2:5" ht="13.5" thickBot="1">
      <c r="B128" s="177"/>
      <c r="C128" s="217">
        <f>SUM(C121:C127)</f>
        <v>477870.41</v>
      </c>
      <c r="D128" s="217">
        <f>SUM(D121:D127)</f>
        <v>488206.46</v>
      </c>
      <c r="E128" s="217">
        <f>SUM(E121:E127)</f>
        <v>10336.050000000017</v>
      </c>
    </row>
    <row r="129" spans="2:5" ht="13.5" thickBot="1">
      <c r="B129" s="363" t="s">
        <v>87</v>
      </c>
      <c r="C129" s="364"/>
      <c r="D129" s="364"/>
      <c r="E129" s="365"/>
    </row>
    <row r="130" spans="2:5" ht="12.75">
      <c r="B130" s="140" t="s">
        <v>285</v>
      </c>
      <c r="C130" s="234">
        <f>503351.79+375</f>
        <v>503726.79</v>
      </c>
      <c r="D130" s="155">
        <f>485066.27+1216.49</f>
        <v>486282.76</v>
      </c>
      <c r="E130" s="242">
        <f aca="true" t="shared" si="5" ref="E130:E136">D130-C130</f>
        <v>-17444.02999999997</v>
      </c>
    </row>
    <row r="131" spans="2:5" ht="12.75">
      <c r="B131" s="115" t="s">
        <v>637</v>
      </c>
      <c r="C131" s="10">
        <v>248519.83</v>
      </c>
      <c r="D131" s="34">
        <v>248532.12</v>
      </c>
      <c r="E131" s="57">
        <f t="shared" si="5"/>
        <v>12.290000000008149</v>
      </c>
    </row>
    <row r="132" spans="2:5" ht="12.75">
      <c r="B132" s="115" t="s">
        <v>633</v>
      </c>
      <c r="C132" s="67">
        <v>62390.01</v>
      </c>
      <c r="D132" s="83">
        <v>61095.72</v>
      </c>
      <c r="E132" s="57">
        <f t="shared" si="5"/>
        <v>-1294.2900000000009</v>
      </c>
    </row>
    <row r="133" spans="2:5" ht="12.75">
      <c r="B133" s="116" t="s">
        <v>364</v>
      </c>
      <c r="C133" s="94">
        <v>13417.13</v>
      </c>
      <c r="D133" s="83">
        <v>17084.06</v>
      </c>
      <c r="E133" s="57">
        <f t="shared" si="5"/>
        <v>3666.930000000002</v>
      </c>
    </row>
    <row r="134" spans="2:5" ht="12.75" customHeight="1">
      <c r="B134" s="352" t="s">
        <v>1210</v>
      </c>
      <c r="C134" s="258">
        <v>77873.09</v>
      </c>
      <c r="D134" s="258">
        <v>122050.66</v>
      </c>
      <c r="E134" s="57">
        <f t="shared" si="5"/>
        <v>44177.57000000001</v>
      </c>
    </row>
    <row r="135" spans="2:5" ht="12.75">
      <c r="B135" s="116" t="s">
        <v>29</v>
      </c>
      <c r="C135" s="94">
        <f>2400+3600+162940.23+28599+22680</f>
        <v>220219.23</v>
      </c>
      <c r="D135" s="83">
        <f>2400+3300+33248.4+174123.11-1500+33432+30240</f>
        <v>275243.51</v>
      </c>
      <c r="E135" s="57">
        <f t="shared" si="5"/>
        <v>55024.28</v>
      </c>
    </row>
    <row r="136" spans="2:5" ht="13.5" thickBot="1">
      <c r="B136" s="157" t="s">
        <v>805</v>
      </c>
      <c r="C136" s="225">
        <f>15713+9256.44+11692.43+9457.02</f>
        <v>46118.89</v>
      </c>
      <c r="D136" s="226">
        <f>26165.79+17473.02+11692.43+11823.84</f>
        <v>67155.08</v>
      </c>
      <c r="E136" s="219">
        <f t="shared" si="5"/>
        <v>21036.190000000002</v>
      </c>
    </row>
    <row r="137" spans="2:5" ht="13.5" thickBot="1">
      <c r="B137" s="177"/>
      <c r="C137" s="217">
        <f>SUM(C130:C136)</f>
        <v>1172264.97</v>
      </c>
      <c r="D137" s="217">
        <f>SUM(D130:D136)</f>
        <v>1277443.9100000001</v>
      </c>
      <c r="E137" s="217">
        <f>SUM(E130:E136)</f>
        <v>105178.94000000005</v>
      </c>
    </row>
    <row r="138" spans="2:5" ht="13.5" thickBot="1">
      <c r="B138" s="366" t="s">
        <v>379</v>
      </c>
      <c r="C138" s="367"/>
      <c r="D138" s="367"/>
      <c r="E138" s="368"/>
    </row>
    <row r="139" spans="2:5" ht="13.5" thickBot="1">
      <c r="B139" s="153"/>
      <c r="C139" s="176">
        <f>C95+C102+C110+C119+C128+C137</f>
        <v>4557183.4</v>
      </c>
      <c r="D139" s="176">
        <f>D95+D102+D110+D119+D128+D137</f>
        <v>4811605.8100000005</v>
      </c>
      <c r="E139" s="176">
        <f>E95+E102+E110+E119+E128+E137</f>
        <v>254422.41000000015</v>
      </c>
    </row>
  </sheetData>
  <sheetProtection/>
  <mergeCells count="28">
    <mergeCell ref="B111:E111"/>
    <mergeCell ref="B120:E120"/>
    <mergeCell ref="B138:E138"/>
    <mergeCell ref="B129:E129"/>
    <mergeCell ref="D24:E25"/>
    <mergeCell ref="D29:E29"/>
    <mergeCell ref="D30:E31"/>
    <mergeCell ref="D26:E27"/>
    <mergeCell ref="D28:E28"/>
    <mergeCell ref="D84:E84"/>
    <mergeCell ref="D85:E85"/>
    <mergeCell ref="D86:E86"/>
    <mergeCell ref="B89:E89"/>
    <mergeCell ref="B96:E96"/>
    <mergeCell ref="B103:E103"/>
    <mergeCell ref="D78:E78"/>
    <mergeCell ref="D79:E79"/>
    <mergeCell ref="D80:E80"/>
    <mergeCell ref="D81:E81"/>
    <mergeCell ref="D82:E82"/>
    <mergeCell ref="D83:E83"/>
    <mergeCell ref="A6:E6"/>
    <mergeCell ref="A20:D20"/>
    <mergeCell ref="A21:D21"/>
    <mergeCell ref="A2:B2"/>
    <mergeCell ref="C2:E2"/>
    <mergeCell ref="C3:E3"/>
    <mergeCell ref="B4:E4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54.875" style="0" customWidth="1"/>
    <col min="3" max="3" width="10.625" style="0" customWidth="1"/>
    <col min="4" max="4" width="12.125" style="0" customWidth="1"/>
    <col min="5" max="5" width="13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9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436</v>
      </c>
      <c r="C7" s="26"/>
      <c r="D7" s="24"/>
    </row>
    <row r="8" spans="1:4" ht="15">
      <c r="A8" s="26"/>
      <c r="B8" s="27" t="s">
        <v>115</v>
      </c>
      <c r="C8" s="38">
        <v>1208.5</v>
      </c>
      <c r="D8" s="92" t="s">
        <v>116</v>
      </c>
    </row>
    <row r="9" spans="1:4" ht="15">
      <c r="A9" s="26"/>
      <c r="B9" s="27" t="s">
        <v>654</v>
      </c>
      <c r="C9" s="93">
        <v>91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157780.52</v>
      </c>
      <c r="D12" s="218">
        <v>167794.25</v>
      </c>
      <c r="E12" s="242">
        <f aca="true" t="shared" si="0" ref="E12:E19">D12-C12</f>
        <v>10013.73000000001</v>
      </c>
    </row>
    <row r="13" spans="1:5" ht="12.75">
      <c r="A13" s="84">
        <v>2</v>
      </c>
      <c r="B13" s="5" t="s">
        <v>637</v>
      </c>
      <c r="C13" s="5">
        <v>77788.55</v>
      </c>
      <c r="D13" s="98">
        <v>82740</v>
      </c>
      <c r="E13" s="57">
        <f t="shared" si="0"/>
        <v>4951.449999999997</v>
      </c>
    </row>
    <row r="14" spans="1:5" ht="12.75">
      <c r="A14" s="84">
        <v>3</v>
      </c>
      <c r="B14" s="5" t="s">
        <v>633</v>
      </c>
      <c r="C14" s="5">
        <v>24944.52</v>
      </c>
      <c r="D14" s="99">
        <v>26319.53</v>
      </c>
      <c r="E14" s="57">
        <f t="shared" si="0"/>
        <v>1375.0099999999984</v>
      </c>
    </row>
    <row r="15" spans="1:5" ht="12.75">
      <c r="A15" s="84">
        <v>4</v>
      </c>
      <c r="B15" s="5" t="s">
        <v>364</v>
      </c>
      <c r="C15" s="10">
        <v>6526.26</v>
      </c>
      <c r="D15" s="98">
        <v>8523.72</v>
      </c>
      <c r="E15" s="57">
        <f t="shared" si="0"/>
        <v>1997.4599999999991</v>
      </c>
    </row>
    <row r="16" spans="1:5" ht="12.75">
      <c r="A16" s="84">
        <v>5</v>
      </c>
      <c r="B16" s="5" t="s">
        <v>187</v>
      </c>
      <c r="C16" s="10">
        <v>35505.26</v>
      </c>
      <c r="D16" s="98">
        <v>80413.96</v>
      </c>
      <c r="E16" s="57">
        <f t="shared" si="0"/>
        <v>44908.700000000004</v>
      </c>
    </row>
    <row r="17" spans="1:5" ht="12.75">
      <c r="A17" s="84">
        <v>6</v>
      </c>
      <c r="B17" s="16" t="s">
        <v>202</v>
      </c>
      <c r="C17" s="125">
        <v>4151.54</v>
      </c>
      <c r="D17" s="125">
        <v>364.74</v>
      </c>
      <c r="E17" s="57">
        <f t="shared" si="0"/>
        <v>-3786.8</v>
      </c>
    </row>
    <row r="18" spans="1:5" ht="12.75">
      <c r="A18" s="84">
        <v>7</v>
      </c>
      <c r="B18" s="5" t="s">
        <v>805</v>
      </c>
      <c r="C18" s="10">
        <v>98918.84</v>
      </c>
      <c r="D18" s="98">
        <v>195108.7</v>
      </c>
      <c r="E18" s="57">
        <f t="shared" si="0"/>
        <v>96189.86000000002</v>
      </c>
    </row>
    <row r="19" spans="1:5" ht="13.5" thickBot="1">
      <c r="A19" s="261">
        <v>8</v>
      </c>
      <c r="B19" s="95" t="s">
        <v>28</v>
      </c>
      <c r="C19" s="225">
        <v>2363.28</v>
      </c>
      <c r="D19" s="227">
        <v>2363.28</v>
      </c>
      <c r="E19" s="222">
        <f t="shared" si="0"/>
        <v>0</v>
      </c>
    </row>
    <row r="20" spans="1:5" ht="13.5" thickBot="1">
      <c r="A20" s="250"/>
      <c r="B20" s="251"/>
      <c r="C20" s="118">
        <f>SUM(C12:C19)</f>
        <v>407978.77</v>
      </c>
      <c r="D20" s="118">
        <f>SUM(D12:D19)</f>
        <v>563628.18</v>
      </c>
      <c r="E20" s="137">
        <f>SUM(E12:E19)</f>
        <v>155649.41000000003</v>
      </c>
    </row>
    <row r="21" spans="1:5" ht="12.75">
      <c r="A21" s="385" t="s">
        <v>793</v>
      </c>
      <c r="B21" s="386"/>
      <c r="C21" s="386"/>
      <c r="D21" s="386"/>
      <c r="E21" s="108">
        <f>E119</f>
        <v>248519.26</v>
      </c>
    </row>
    <row r="22" spans="1:5" ht="12.75">
      <c r="A22" s="387" t="s">
        <v>794</v>
      </c>
      <c r="B22" s="384"/>
      <c r="C22" s="384"/>
      <c r="D22" s="384"/>
      <c r="E22" s="22">
        <v>377410.12</v>
      </c>
    </row>
    <row r="23" spans="1:2" ht="12.75">
      <c r="A23" s="37"/>
      <c r="B23" s="3" t="s">
        <v>217</v>
      </c>
    </row>
    <row r="24" spans="1:2" ht="13.5" thickBot="1">
      <c r="A24" s="37"/>
      <c r="B24" s="30" t="s">
        <v>964</v>
      </c>
    </row>
    <row r="25" spans="1:5" ht="12.75">
      <c r="A25" s="86">
        <v>1</v>
      </c>
      <c r="B25" s="64" t="s">
        <v>417</v>
      </c>
      <c r="C25" s="80">
        <f>C64</f>
        <v>135958.16</v>
      </c>
      <c r="E25" s="29"/>
    </row>
    <row r="26" spans="1:5" ht="12.75" customHeight="1">
      <c r="A26" s="91">
        <v>2</v>
      </c>
      <c r="B26" s="25" t="s">
        <v>344</v>
      </c>
      <c r="C26" s="102">
        <f>C68</f>
        <v>6883.52</v>
      </c>
      <c r="D26" s="388"/>
      <c r="E26" s="389"/>
    </row>
    <row r="27" spans="1:5" ht="12.75">
      <c r="A27" s="84">
        <v>3</v>
      </c>
      <c r="B27" s="9" t="s">
        <v>649</v>
      </c>
      <c r="C27" s="48">
        <v>70953.02</v>
      </c>
      <c r="E27" s="29"/>
    </row>
    <row r="28" spans="1:5" ht="12.75">
      <c r="A28" s="84">
        <v>4</v>
      </c>
      <c r="B28" s="9" t="s">
        <v>122</v>
      </c>
      <c r="C28" s="48">
        <f>(C8*0.55*12)</f>
        <v>7976.1</v>
      </c>
      <c r="E28" s="29"/>
    </row>
    <row r="29" spans="1:5" ht="12.75">
      <c r="A29" s="84">
        <v>5</v>
      </c>
      <c r="B29" s="9" t="s">
        <v>658</v>
      </c>
      <c r="C29" s="79">
        <v>24434.28</v>
      </c>
      <c r="E29" s="29"/>
    </row>
    <row r="30" spans="1:5" ht="25.5">
      <c r="A30" s="91">
        <v>6</v>
      </c>
      <c r="B30" s="25" t="s">
        <v>188</v>
      </c>
      <c r="C30" s="96">
        <v>3238.9</v>
      </c>
      <c r="E30" s="29"/>
    </row>
    <row r="31" spans="1:5" ht="12.75">
      <c r="A31" s="91">
        <v>7</v>
      </c>
      <c r="B31" s="25" t="s">
        <v>420</v>
      </c>
      <c r="C31" s="96">
        <v>1200</v>
      </c>
      <c r="E31" s="29"/>
    </row>
    <row r="32" spans="1:5" ht="25.5">
      <c r="A32" s="91">
        <v>8</v>
      </c>
      <c r="B32" s="346" t="s">
        <v>190</v>
      </c>
      <c r="C32" s="96">
        <v>1010</v>
      </c>
      <c r="E32" s="29"/>
    </row>
    <row r="33" spans="1:5" ht="25.5">
      <c r="A33" s="91">
        <v>9</v>
      </c>
      <c r="B33" s="25" t="s">
        <v>727</v>
      </c>
      <c r="C33" s="96">
        <v>7900</v>
      </c>
      <c r="E33" s="29"/>
    </row>
    <row r="34" spans="1:5" ht="12.75">
      <c r="A34" s="84">
        <v>10</v>
      </c>
      <c r="B34" s="25" t="s">
        <v>189</v>
      </c>
      <c r="C34" s="79">
        <v>87889.96</v>
      </c>
      <c r="E34" s="29"/>
    </row>
    <row r="35" spans="1:5" ht="12.75">
      <c r="A35" s="91">
        <v>11</v>
      </c>
      <c r="B35" s="25" t="s">
        <v>363</v>
      </c>
      <c r="C35" s="349">
        <v>78782.9</v>
      </c>
      <c r="E35" s="29"/>
    </row>
    <row r="36" spans="1:3" ht="12.75">
      <c r="A36" s="50"/>
      <c r="B36" s="20" t="s">
        <v>629</v>
      </c>
      <c r="C36" s="51">
        <f>SUM(C25:C35)</f>
        <v>426226.83999999997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(C20)*15%</f>
        <v>61196.8155</v>
      </c>
    </row>
    <row r="39" spans="1:3" ht="12.75">
      <c r="A39" s="84">
        <v>2</v>
      </c>
      <c r="B39" s="9" t="s">
        <v>813</v>
      </c>
      <c r="C39" s="48">
        <f>C74</f>
        <v>2617.436739632849</v>
      </c>
    </row>
    <row r="40" spans="1:3" ht="12.75">
      <c r="A40" s="84">
        <v>3</v>
      </c>
      <c r="B40" s="9" t="s">
        <v>653</v>
      </c>
      <c r="C40" s="48">
        <f>C75</f>
        <v>2842.924134905954</v>
      </c>
    </row>
    <row r="41" spans="1:3" ht="12.75">
      <c r="A41" s="84">
        <v>4</v>
      </c>
      <c r="B41" s="9" t="s">
        <v>1114</v>
      </c>
      <c r="C41" s="52">
        <f>C76</f>
        <v>5771.249660699374</v>
      </c>
    </row>
    <row r="42" spans="1:3" ht="12.75">
      <c r="A42" s="84">
        <v>5</v>
      </c>
      <c r="B42" s="9" t="s">
        <v>162</v>
      </c>
      <c r="C42" s="52">
        <f>C77</f>
        <v>4534.513633247448</v>
      </c>
    </row>
    <row r="43" spans="1:3" ht="12.75">
      <c r="A43" s="84">
        <v>6</v>
      </c>
      <c r="B43" s="9" t="s">
        <v>1051</v>
      </c>
      <c r="C43" s="48">
        <f>C78+C80+C81+C82+C79</f>
        <v>7695.050465602548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84657.99013408816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C20*2%</f>
        <v>8159.575400000001</v>
      </c>
    </row>
    <row r="51" spans="1:3" ht="12.75">
      <c r="A51" s="84">
        <v>2</v>
      </c>
      <c r="B51" s="9" t="s">
        <v>391</v>
      </c>
      <c r="C51" s="48">
        <f>C52</f>
        <v>23989.151676</v>
      </c>
    </row>
    <row r="52" spans="1:4" ht="12.75">
      <c r="A52" s="49"/>
      <c r="B52" s="5" t="s">
        <v>334</v>
      </c>
      <c r="C52" s="41">
        <f>(C20-C50)*6%</f>
        <v>23989.151676</v>
      </c>
      <c r="D52" s="19"/>
    </row>
    <row r="53" spans="1:3" ht="13.5" thickBot="1">
      <c r="A53" s="54"/>
      <c r="B53" s="55" t="s">
        <v>967</v>
      </c>
      <c r="C53" s="56">
        <f>C50+C51</f>
        <v>32148.727076000003</v>
      </c>
    </row>
    <row r="54" spans="1:3" ht="12.75">
      <c r="A54" s="23"/>
      <c r="B54" s="4" t="s">
        <v>288</v>
      </c>
      <c r="C54" s="11">
        <f>C36+C48+C53</f>
        <v>543033.5572100881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">
        <v>165301.21</v>
      </c>
    </row>
    <row r="57" spans="1:3" ht="15">
      <c r="A57" s="23"/>
      <c r="B57" s="14" t="s">
        <v>12</v>
      </c>
      <c r="C57" s="1">
        <v>81865.22</v>
      </c>
    </row>
    <row r="58" spans="1:3" ht="15">
      <c r="A58" s="23"/>
      <c r="B58" s="14" t="s">
        <v>180</v>
      </c>
      <c r="C58" s="11">
        <f>C54+C56-C20-C57</f>
        <v>218490.77721008807</v>
      </c>
    </row>
    <row r="59" ht="12.75">
      <c r="B59" s="1" t="s">
        <v>85</v>
      </c>
    </row>
    <row r="60" ht="14.25" customHeight="1">
      <c r="B60" s="1" t="s">
        <v>1197</v>
      </c>
    </row>
    <row r="61" spans="1:4" ht="12.75">
      <c r="A61" s="2"/>
      <c r="B61" s="2"/>
      <c r="C61" s="2" t="s">
        <v>790</v>
      </c>
      <c r="D61" s="2"/>
    </row>
    <row r="62" spans="1:4" ht="12.75">
      <c r="A62" s="2"/>
      <c r="B62" s="2"/>
      <c r="C62" s="2" t="s">
        <v>186</v>
      </c>
      <c r="D62" s="2"/>
    </row>
    <row r="63" spans="1:5" ht="13.5" thickBot="1">
      <c r="A63" s="37"/>
      <c r="B63" s="37" t="s">
        <v>969</v>
      </c>
      <c r="C63" s="32" t="s">
        <v>886</v>
      </c>
      <c r="D63" s="114">
        <f>C8+C9</f>
        <v>1299.5</v>
      </c>
      <c r="E63" t="s">
        <v>116</v>
      </c>
    </row>
    <row r="64" spans="1:5" ht="12.75">
      <c r="A64" s="60" t="s">
        <v>218</v>
      </c>
      <c r="B64" s="39" t="s">
        <v>286</v>
      </c>
      <c r="C64" s="47">
        <v>135958.16</v>
      </c>
      <c r="D64" s="15"/>
      <c r="E64" s="21"/>
    </row>
    <row r="65" spans="1:5" ht="12.75">
      <c r="A65" s="61"/>
      <c r="B65" s="6" t="s">
        <v>118</v>
      </c>
      <c r="C65" s="41"/>
      <c r="D65" s="15"/>
      <c r="E65" s="21"/>
    </row>
    <row r="66" spans="1:5" ht="12.75">
      <c r="A66" s="62" t="s">
        <v>166</v>
      </c>
      <c r="B66" s="6" t="s">
        <v>380</v>
      </c>
      <c r="C66" s="41">
        <v>0</v>
      </c>
      <c r="D66" s="15"/>
      <c r="E66" s="15"/>
    </row>
    <row r="67" spans="1:5" ht="13.5" thickBot="1">
      <c r="A67" s="62" t="s">
        <v>166</v>
      </c>
      <c r="B67" s="6" t="s">
        <v>203</v>
      </c>
      <c r="C67" s="41">
        <v>40000</v>
      </c>
      <c r="D67" s="15"/>
      <c r="E67" s="15"/>
    </row>
    <row r="68" spans="1:5" ht="12.75">
      <c r="A68" s="60" t="s">
        <v>328</v>
      </c>
      <c r="B68" s="39" t="s">
        <v>343</v>
      </c>
      <c r="C68" s="47">
        <v>6883.52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47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69.1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84657.99013408818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C38</f>
        <v>61196.8155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2617.436739632849</v>
      </c>
      <c r="D74" s="375" t="s">
        <v>191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2842.924134905954</v>
      </c>
      <c r="D75" s="377" t="s">
        <v>192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5771.249660699374</v>
      </c>
      <c r="D76" s="379" t="s">
        <v>193</v>
      </c>
      <c r="E76" s="380"/>
    </row>
    <row r="77" spans="1:5" ht="25.5">
      <c r="A77" s="73" t="s">
        <v>166</v>
      </c>
      <c r="B77" s="72" t="s">
        <v>231</v>
      </c>
      <c r="C77" s="318">
        <f>845684.35/242356.05*D63</f>
        <v>4534.513633247448</v>
      </c>
      <c r="D77" s="381" t="s">
        <v>194</v>
      </c>
      <c r="E77" s="382"/>
    </row>
    <row r="78" spans="1:5" ht="12.75">
      <c r="A78" s="73" t="s">
        <v>166</v>
      </c>
      <c r="B78" s="74" t="s">
        <v>808</v>
      </c>
      <c r="C78" s="318">
        <f>642562.44/242356.05*D63</f>
        <v>3445.3849647244206</v>
      </c>
      <c r="D78" s="371" t="s">
        <v>342</v>
      </c>
      <c r="E78" s="372"/>
    </row>
    <row r="79" spans="1:5" ht="12.75">
      <c r="A79" s="73" t="s">
        <v>166</v>
      </c>
      <c r="B79" s="74" t="s">
        <v>826</v>
      </c>
      <c r="C79" s="318">
        <f>51615/196822.43*D63</f>
        <v>340.782768000578</v>
      </c>
      <c r="D79" s="371" t="s">
        <v>195</v>
      </c>
      <c r="E79" s="372"/>
    </row>
    <row r="80" spans="1:5" ht="12.75">
      <c r="A80" s="73" t="s">
        <v>166</v>
      </c>
      <c r="B80" s="74" t="s">
        <v>655</v>
      </c>
      <c r="C80" s="318">
        <f>129011.28/196822.43*D63</f>
        <v>851.7838051283078</v>
      </c>
      <c r="D80" s="371" t="s">
        <v>196</v>
      </c>
      <c r="E80" s="372"/>
    </row>
    <row r="81" spans="1:5" ht="12.75">
      <c r="A81" s="73" t="s">
        <v>166</v>
      </c>
      <c r="B81" s="74" t="s">
        <v>656</v>
      </c>
      <c r="C81" s="318">
        <f>164128/196822.43*D63</f>
        <v>1083.6383637779495</v>
      </c>
      <c r="D81" s="373" t="s">
        <v>197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298900.58/196822.43*D63</f>
        <v>1973.4605639712913</v>
      </c>
      <c r="D82" s="369" t="s">
        <v>198</v>
      </c>
      <c r="E82" s="370"/>
    </row>
    <row r="83" ht="13.5" thickBot="1"/>
    <row r="84" spans="2:5" ht="26.25" thickBot="1">
      <c r="B84" s="143"/>
      <c r="C84" s="205" t="s">
        <v>104</v>
      </c>
      <c r="D84" s="236" t="s">
        <v>306</v>
      </c>
      <c r="E84" s="130" t="s">
        <v>305</v>
      </c>
    </row>
    <row r="85" spans="2:5" ht="13.5" thickBot="1">
      <c r="B85" s="363" t="s">
        <v>660</v>
      </c>
      <c r="C85" s="364"/>
      <c r="D85" s="364"/>
      <c r="E85" s="365"/>
    </row>
    <row r="86" spans="2:5" ht="12.75">
      <c r="B86" s="140" t="s">
        <v>285</v>
      </c>
      <c r="C86" s="141">
        <v>126470.06</v>
      </c>
      <c r="D86" s="155">
        <v>145662.13</v>
      </c>
      <c r="E86" s="213">
        <f>D86-C86</f>
        <v>19192.070000000007</v>
      </c>
    </row>
    <row r="87" spans="2:5" ht="12.75">
      <c r="B87" s="115" t="s">
        <v>637</v>
      </c>
      <c r="C87" s="5">
        <v>59490.07</v>
      </c>
      <c r="D87" s="33">
        <v>70847.5</v>
      </c>
      <c r="E87" s="214">
        <f>D87-C87</f>
        <v>11357.43</v>
      </c>
    </row>
    <row r="88" spans="2:5" ht="12.75">
      <c r="B88" s="115" t="s">
        <v>633</v>
      </c>
      <c r="C88" s="65">
        <v>18032.79</v>
      </c>
      <c r="D88" s="70">
        <v>21368.3</v>
      </c>
      <c r="E88" s="214">
        <f>D88-C88</f>
        <v>3335.5099999999984</v>
      </c>
    </row>
    <row r="89" spans="2:5" ht="12.75">
      <c r="B89" s="115" t="s">
        <v>308</v>
      </c>
      <c r="C89" s="65">
        <v>29585.2</v>
      </c>
      <c r="D89" s="70">
        <v>38765.6</v>
      </c>
      <c r="E89" s="214">
        <f>D89-C89</f>
        <v>9180.399999999998</v>
      </c>
    </row>
    <row r="90" spans="2:5" ht="13.5" thickBot="1">
      <c r="B90" s="156" t="s">
        <v>278</v>
      </c>
      <c r="C90" s="229">
        <v>2110.03</v>
      </c>
      <c r="D90" s="229">
        <v>2571.7</v>
      </c>
      <c r="E90" s="216">
        <f>D90-C90</f>
        <v>461.6699999999996</v>
      </c>
    </row>
    <row r="91" spans="2:5" ht="13.5" thickBot="1">
      <c r="B91" s="187"/>
      <c r="C91" s="217">
        <f>SUM(C86:C90)</f>
        <v>235688.15000000002</v>
      </c>
      <c r="D91" s="217">
        <f>SUM(D86:D90)</f>
        <v>279215.23</v>
      </c>
      <c r="E91" s="217">
        <f>SUM(E86:E90)</f>
        <v>43527.08</v>
      </c>
    </row>
    <row r="92" spans="2:5" ht="13.5" thickBot="1">
      <c r="B92" s="363" t="s">
        <v>419</v>
      </c>
      <c r="C92" s="364"/>
      <c r="D92" s="364"/>
      <c r="E92" s="365"/>
    </row>
    <row r="93" spans="2:5" ht="12.75">
      <c r="B93" s="140" t="s">
        <v>285</v>
      </c>
      <c r="C93" s="141">
        <v>132477.54</v>
      </c>
      <c r="D93" s="155">
        <v>141877.6</v>
      </c>
      <c r="E93" s="213">
        <f aca="true" t="shared" si="1" ref="E93:E98">D93-C93</f>
        <v>9400.059999999998</v>
      </c>
    </row>
    <row r="94" spans="2:5" ht="12.75">
      <c r="B94" s="115" t="s">
        <v>637</v>
      </c>
      <c r="C94" s="5">
        <v>59733.45</v>
      </c>
      <c r="D94" s="33">
        <v>69018.87</v>
      </c>
      <c r="E94" s="214">
        <f t="shared" si="1"/>
        <v>9285.419999999998</v>
      </c>
    </row>
    <row r="95" spans="2:5" ht="12.75">
      <c r="B95" s="115" t="s">
        <v>633</v>
      </c>
      <c r="C95" s="65">
        <v>19186.56</v>
      </c>
      <c r="D95" s="70">
        <v>21728.62</v>
      </c>
      <c r="E95" s="214">
        <f t="shared" si="1"/>
        <v>2542.0599999999977</v>
      </c>
    </row>
    <row r="96" spans="2:5" ht="12.75">
      <c r="B96" s="115" t="s">
        <v>278</v>
      </c>
      <c r="C96" s="65">
        <v>3589.17</v>
      </c>
      <c r="D96" s="70">
        <v>3186.52</v>
      </c>
      <c r="E96" s="214">
        <f t="shared" si="1"/>
        <v>-402.6500000000001</v>
      </c>
    </row>
    <row r="97" spans="2:5" ht="12.75">
      <c r="B97" s="115" t="s">
        <v>308</v>
      </c>
      <c r="C97" s="122">
        <v>34457.72</v>
      </c>
      <c r="D97" s="122">
        <v>42669.79</v>
      </c>
      <c r="E97" s="214">
        <f t="shared" si="1"/>
        <v>8212.07</v>
      </c>
    </row>
    <row r="98" spans="2:5" ht="13.5" thickBot="1">
      <c r="B98" s="157" t="s">
        <v>805</v>
      </c>
      <c r="C98" s="225">
        <v>10165.75</v>
      </c>
      <c r="D98" s="226">
        <v>13331.5</v>
      </c>
      <c r="E98" s="219">
        <f t="shared" si="1"/>
        <v>3165.75</v>
      </c>
    </row>
    <row r="99" spans="2:5" ht="13.5" thickBot="1">
      <c r="B99" s="187"/>
      <c r="C99" s="217">
        <f>SUM(C93:C98)</f>
        <v>259610.19</v>
      </c>
      <c r="D99" s="217">
        <f>SUM(D93:D98)</f>
        <v>291812.89999999997</v>
      </c>
      <c r="E99" s="217">
        <f>SUM(E93:E98)</f>
        <v>32202.709999999992</v>
      </c>
    </row>
    <row r="100" spans="2:5" ht="13.5" thickBot="1">
      <c r="B100" s="363" t="s">
        <v>381</v>
      </c>
      <c r="C100" s="364"/>
      <c r="D100" s="364"/>
      <c r="E100" s="365"/>
    </row>
    <row r="101" spans="2:5" ht="12.75">
      <c r="B101" s="140" t="s">
        <v>285</v>
      </c>
      <c r="C101" s="141">
        <v>184106.39</v>
      </c>
      <c r="D101" s="155">
        <v>195066.62</v>
      </c>
      <c r="E101" s="213">
        <f aca="true" t="shared" si="2" ref="E101:E107">D101-C101</f>
        <v>10960.229999999981</v>
      </c>
    </row>
    <row r="102" spans="2:5" ht="12.75">
      <c r="B102" s="115" t="s">
        <v>637</v>
      </c>
      <c r="C102" s="5">
        <v>90344.26</v>
      </c>
      <c r="D102" s="33">
        <v>95357.4</v>
      </c>
      <c r="E102" s="214">
        <f t="shared" si="2"/>
        <v>5013.139999999999</v>
      </c>
    </row>
    <row r="103" spans="2:5" ht="12.75">
      <c r="B103" s="115" t="s">
        <v>633</v>
      </c>
      <c r="C103" s="65">
        <v>28234.97</v>
      </c>
      <c r="D103" s="70">
        <v>30091.65</v>
      </c>
      <c r="E103" s="214">
        <f t="shared" si="2"/>
        <v>1856.6800000000003</v>
      </c>
    </row>
    <row r="104" spans="2:5" ht="12.75">
      <c r="B104" s="116" t="s">
        <v>364</v>
      </c>
      <c r="C104" s="94">
        <v>4301.7</v>
      </c>
      <c r="D104" s="83">
        <v>5054.59</v>
      </c>
      <c r="E104" s="214">
        <f t="shared" si="2"/>
        <v>752.8900000000003</v>
      </c>
    </row>
    <row r="105" spans="2:5" ht="12.75">
      <c r="B105" s="115" t="s">
        <v>805</v>
      </c>
      <c r="C105" s="67">
        <v>10000</v>
      </c>
      <c r="D105" s="83">
        <v>20226.57</v>
      </c>
      <c r="E105" s="214">
        <f t="shared" si="2"/>
        <v>10226.57</v>
      </c>
    </row>
    <row r="106" spans="2:5" ht="12.75">
      <c r="B106" s="278" t="s">
        <v>202</v>
      </c>
      <c r="C106" s="122">
        <v>22096.42</v>
      </c>
      <c r="D106" s="122">
        <v>10426.97</v>
      </c>
      <c r="E106" s="214">
        <f t="shared" si="2"/>
        <v>-11669.449999999999</v>
      </c>
    </row>
    <row r="107" spans="2:5" ht="13.5" thickBot="1">
      <c r="B107" s="157" t="s">
        <v>1200</v>
      </c>
      <c r="C107" s="229">
        <v>6379.07</v>
      </c>
      <c r="D107" s="229">
        <v>6379.07</v>
      </c>
      <c r="E107" s="219">
        <f t="shared" si="2"/>
        <v>0</v>
      </c>
    </row>
    <row r="108" spans="2:5" ht="13.5" thickBot="1">
      <c r="B108" s="187"/>
      <c r="C108" s="217">
        <f>SUM(C101:C107)</f>
        <v>345462.81</v>
      </c>
      <c r="D108" s="217">
        <f>SUM(D101:D107)</f>
        <v>362602.87000000005</v>
      </c>
      <c r="E108" s="217">
        <f>SUM(E101:E107)</f>
        <v>17140.059999999983</v>
      </c>
    </row>
    <row r="109" spans="2:5" ht="13.5" thickBot="1">
      <c r="B109" s="363" t="s">
        <v>87</v>
      </c>
      <c r="C109" s="364"/>
      <c r="D109" s="364"/>
      <c r="E109" s="365"/>
    </row>
    <row r="110" spans="2:5" ht="12.75">
      <c r="B110" s="140" t="s">
        <v>285</v>
      </c>
      <c r="C110" s="141">
        <v>157780.52</v>
      </c>
      <c r="D110" s="155">
        <v>167794.25</v>
      </c>
      <c r="E110" s="242">
        <f aca="true" t="shared" si="3" ref="E110:E116">D110-C110</f>
        <v>10013.73000000001</v>
      </c>
    </row>
    <row r="111" spans="2:5" ht="12.75">
      <c r="B111" s="115" t="s">
        <v>637</v>
      </c>
      <c r="C111" s="5">
        <v>77788.55</v>
      </c>
      <c r="D111" s="34">
        <v>82740</v>
      </c>
      <c r="E111" s="57">
        <f t="shared" si="3"/>
        <v>4951.449999999997</v>
      </c>
    </row>
    <row r="112" spans="2:5" ht="12.75">
      <c r="B112" s="115" t="s">
        <v>633</v>
      </c>
      <c r="C112" s="65">
        <v>24944.52</v>
      </c>
      <c r="D112" s="70">
        <v>26319.53</v>
      </c>
      <c r="E112" s="57">
        <f t="shared" si="3"/>
        <v>1375.0099999999984</v>
      </c>
    </row>
    <row r="113" spans="2:5" ht="12.75">
      <c r="B113" s="116" t="s">
        <v>364</v>
      </c>
      <c r="C113" s="94">
        <v>6526.26</v>
      </c>
      <c r="D113" s="83">
        <v>8523.72</v>
      </c>
      <c r="E113" s="57">
        <f t="shared" si="3"/>
        <v>1997.4599999999991</v>
      </c>
    </row>
    <row r="114" spans="2:5" ht="12.75">
      <c r="B114" s="116" t="s">
        <v>187</v>
      </c>
      <c r="C114" s="94">
        <v>35505.26</v>
      </c>
      <c r="D114" s="83">
        <v>80413.96</v>
      </c>
      <c r="E114" s="57">
        <f t="shared" si="3"/>
        <v>44908.700000000004</v>
      </c>
    </row>
    <row r="115" spans="2:5" ht="12.75">
      <c r="B115" s="278" t="s">
        <v>202</v>
      </c>
      <c r="C115" s="122">
        <v>4151.54</v>
      </c>
      <c r="D115" s="122">
        <v>364.74</v>
      </c>
      <c r="E115" s="66">
        <f t="shared" si="3"/>
        <v>-3786.8</v>
      </c>
    </row>
    <row r="116" spans="2:5" ht="13.5" thickBot="1">
      <c r="B116" s="157" t="s">
        <v>805</v>
      </c>
      <c r="C116" s="225">
        <v>98918.84</v>
      </c>
      <c r="D116" s="226">
        <v>195108.7</v>
      </c>
      <c r="E116" s="222">
        <f t="shared" si="3"/>
        <v>96189.86000000002</v>
      </c>
    </row>
    <row r="117" spans="2:5" ht="13.5" thickBot="1">
      <c r="B117" s="153"/>
      <c r="C117" s="152">
        <f>SUM(C110:C116)</f>
        <v>405615.49</v>
      </c>
      <c r="D117" s="138">
        <f>SUM(D110:D116)</f>
        <v>561264.9</v>
      </c>
      <c r="E117" s="139">
        <f>SUM(E110:E116)</f>
        <v>155649.41000000003</v>
      </c>
    </row>
    <row r="118" spans="2:5" ht="13.5" thickBot="1">
      <c r="B118" s="366" t="s">
        <v>379</v>
      </c>
      <c r="C118" s="367"/>
      <c r="D118" s="367"/>
      <c r="E118" s="368"/>
    </row>
    <row r="119" spans="2:5" ht="13.5" thickBot="1">
      <c r="B119" s="153"/>
      <c r="C119" s="175">
        <f>C117+C108+C99+C91</f>
        <v>1246376.6400000001</v>
      </c>
      <c r="D119" s="175">
        <f>D117+D108+D99+D91</f>
        <v>1494895.9</v>
      </c>
      <c r="E119" s="175">
        <f>E117+E108+E99+E91</f>
        <v>248519.26</v>
      </c>
    </row>
  </sheetData>
  <sheetProtection/>
  <mergeCells count="22">
    <mergeCell ref="B118:E118"/>
    <mergeCell ref="B85:E85"/>
    <mergeCell ref="B92:E92"/>
    <mergeCell ref="B100:E100"/>
    <mergeCell ref="D82:E82"/>
    <mergeCell ref="D78:E78"/>
    <mergeCell ref="D79:E79"/>
    <mergeCell ref="D80:E80"/>
    <mergeCell ref="D81:E81"/>
    <mergeCell ref="B109:E109"/>
    <mergeCell ref="A22:D22"/>
    <mergeCell ref="D26:E26"/>
    <mergeCell ref="D74:E74"/>
    <mergeCell ref="D75:E75"/>
    <mergeCell ref="D76:E76"/>
    <mergeCell ref="D77:E77"/>
    <mergeCell ref="A2:B2"/>
    <mergeCell ref="C2:E2"/>
    <mergeCell ref="C3:E3"/>
    <mergeCell ref="B4:E4"/>
    <mergeCell ref="A6:E6"/>
    <mergeCell ref="A21:D21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375" style="0" customWidth="1"/>
    <col min="2" max="2" width="62.125" style="0" customWidth="1"/>
    <col min="3" max="3" width="10.625" style="0" customWidth="1"/>
    <col min="4" max="4" width="12.25390625" style="0" customWidth="1"/>
    <col min="5" max="5" width="13.75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9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13</v>
      </c>
      <c r="C7" s="26"/>
      <c r="D7" s="24"/>
    </row>
    <row r="8" spans="1:4" ht="15">
      <c r="A8" s="26"/>
      <c r="B8" s="27" t="s">
        <v>115</v>
      </c>
      <c r="C8" s="38">
        <v>3819.2</v>
      </c>
      <c r="D8" s="92" t="s">
        <v>116</v>
      </c>
    </row>
    <row r="9" spans="1:4" ht="15">
      <c r="A9" s="26"/>
      <c r="B9" s="27" t="s">
        <v>654</v>
      </c>
      <c r="C9" s="93">
        <v>113.4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365884.39</v>
      </c>
      <c r="D12" s="155">
        <v>400858.71</v>
      </c>
      <c r="E12" s="242">
        <f aca="true" t="shared" si="0" ref="E12:E18">D12-C12</f>
        <v>34974.32000000001</v>
      </c>
    </row>
    <row r="13" spans="1:5" ht="12.75">
      <c r="A13" s="84">
        <v>2</v>
      </c>
      <c r="B13" s="5" t="s">
        <v>637</v>
      </c>
      <c r="C13" s="5">
        <v>179845.79</v>
      </c>
      <c r="D13" s="34">
        <v>196379.28</v>
      </c>
      <c r="E13" s="57">
        <f t="shared" si="0"/>
        <v>16533.48999999999</v>
      </c>
    </row>
    <row r="14" spans="1:5" ht="12.75">
      <c r="A14" s="87">
        <v>3</v>
      </c>
      <c r="B14" s="5" t="s">
        <v>633</v>
      </c>
      <c r="C14" s="65">
        <v>67026.85</v>
      </c>
      <c r="D14" s="70">
        <v>75163.79</v>
      </c>
      <c r="E14" s="57">
        <f t="shared" si="0"/>
        <v>8136.939999999988</v>
      </c>
    </row>
    <row r="15" spans="1:5" ht="12.75">
      <c r="A15" s="84">
        <v>4</v>
      </c>
      <c r="B15" s="65" t="s">
        <v>364</v>
      </c>
      <c r="C15" s="94">
        <v>37689.9</v>
      </c>
      <c r="D15" s="83">
        <v>40383.86</v>
      </c>
      <c r="E15" s="57">
        <f t="shared" si="0"/>
        <v>2693.959999999999</v>
      </c>
    </row>
    <row r="16" spans="1:5" ht="12.75">
      <c r="A16" s="84">
        <v>5</v>
      </c>
      <c r="B16" s="65" t="s">
        <v>29</v>
      </c>
      <c r="C16" s="94">
        <f>14000+596.4</f>
        <v>14596.4</v>
      </c>
      <c r="D16" s="83">
        <f>15000+344.4</f>
        <v>15344.4</v>
      </c>
      <c r="E16" s="57">
        <f t="shared" si="0"/>
        <v>748</v>
      </c>
    </row>
    <row r="17" spans="1:5" ht="12.75">
      <c r="A17" s="84">
        <v>6</v>
      </c>
      <c r="B17" s="105" t="s">
        <v>163</v>
      </c>
      <c r="C17" s="122">
        <v>4728.45</v>
      </c>
      <c r="D17" s="122">
        <v>459.05</v>
      </c>
      <c r="E17" s="66">
        <f t="shared" si="0"/>
        <v>-4269.4</v>
      </c>
    </row>
    <row r="18" spans="1:5" ht="13.5" thickBot="1">
      <c r="A18" s="87">
        <v>7</v>
      </c>
      <c r="B18" s="5" t="s">
        <v>805</v>
      </c>
      <c r="C18" s="67">
        <v>33505.28</v>
      </c>
      <c r="D18" s="83">
        <v>31589.42</v>
      </c>
      <c r="E18" s="57">
        <f t="shared" si="0"/>
        <v>-1915.8600000000006</v>
      </c>
    </row>
    <row r="19" spans="1:5" ht="13.5" thickBot="1">
      <c r="A19" s="208"/>
      <c r="B19" s="209"/>
      <c r="C19" s="135">
        <f>SUM(C12:C18)</f>
        <v>703277.06</v>
      </c>
      <c r="D19" s="135">
        <f>SUM(D12:D18)</f>
        <v>760178.5100000001</v>
      </c>
      <c r="E19" s="136">
        <f>SUM(E12:E18)</f>
        <v>56901.44999999998</v>
      </c>
    </row>
    <row r="20" spans="1:5" ht="12.75">
      <c r="A20" s="385" t="s">
        <v>793</v>
      </c>
      <c r="B20" s="386"/>
      <c r="C20" s="386"/>
      <c r="D20" s="386"/>
      <c r="E20" s="108">
        <f>E112</f>
        <v>101864.65000000007</v>
      </c>
    </row>
    <row r="21" spans="1:5" ht="12.75">
      <c r="A21" s="387" t="s">
        <v>794</v>
      </c>
      <c r="B21" s="384"/>
      <c r="C21" s="384"/>
      <c r="D21" s="384"/>
      <c r="E21" s="22">
        <v>172649.87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417</v>
      </c>
      <c r="C24" s="80">
        <f>C63</f>
        <v>214991.65</v>
      </c>
      <c r="E24" s="29"/>
    </row>
    <row r="25" spans="1:5" ht="12.75">
      <c r="A25" s="91">
        <v>2</v>
      </c>
      <c r="B25" s="25" t="s">
        <v>344</v>
      </c>
      <c r="C25" s="102">
        <f>C67</f>
        <v>11090.24</v>
      </c>
      <c r="D25" s="388"/>
      <c r="E25" s="389"/>
    </row>
    <row r="26" spans="1:5" ht="12.75">
      <c r="A26" s="84">
        <v>3</v>
      </c>
      <c r="B26" s="9" t="s">
        <v>649</v>
      </c>
      <c r="C26" s="48">
        <v>6068.45</v>
      </c>
      <c r="E26" s="29"/>
    </row>
    <row r="27" spans="1:5" ht="12.75">
      <c r="A27" s="84">
        <v>4</v>
      </c>
      <c r="B27" s="9" t="s">
        <v>122</v>
      </c>
      <c r="C27" s="48">
        <f>(C8*0.55*12)</f>
        <v>25206.72</v>
      </c>
      <c r="E27" s="29"/>
    </row>
    <row r="28" spans="1:5" ht="12.75">
      <c r="A28" s="84">
        <v>5</v>
      </c>
      <c r="B28" s="9" t="s">
        <v>658</v>
      </c>
      <c r="C28" s="79">
        <v>75781.68</v>
      </c>
      <c r="E28" s="29"/>
    </row>
    <row r="29" spans="1:5" ht="25.5">
      <c r="A29" s="91">
        <v>6</v>
      </c>
      <c r="B29" s="25" t="s">
        <v>24</v>
      </c>
      <c r="C29" s="96">
        <v>1830.18</v>
      </c>
      <c r="E29" s="29"/>
    </row>
    <row r="30" spans="1:5" ht="25.5">
      <c r="A30" s="91">
        <v>7</v>
      </c>
      <c r="B30" s="25" t="s">
        <v>27</v>
      </c>
      <c r="C30" s="96">
        <v>19200</v>
      </c>
      <c r="E30" s="29"/>
    </row>
    <row r="31" spans="1:5" ht="12.75">
      <c r="A31" s="91">
        <v>8</v>
      </c>
      <c r="B31" s="346" t="s">
        <v>25</v>
      </c>
      <c r="C31" s="96">
        <v>6825</v>
      </c>
      <c r="E31" s="29"/>
    </row>
    <row r="32" spans="1:5" ht="12.75">
      <c r="A32" s="91">
        <v>9</v>
      </c>
      <c r="B32" s="346" t="s">
        <v>26</v>
      </c>
      <c r="C32" s="96">
        <v>600</v>
      </c>
      <c r="E32" s="29"/>
    </row>
    <row r="33" spans="1:5" ht="25.5">
      <c r="A33" s="91">
        <v>10</v>
      </c>
      <c r="B33" s="25" t="s">
        <v>727</v>
      </c>
      <c r="C33" s="96">
        <v>7900</v>
      </c>
      <c r="E33" s="29"/>
    </row>
    <row r="34" spans="1:5" ht="12.75">
      <c r="A34" s="84">
        <v>11</v>
      </c>
      <c r="B34" s="25" t="s">
        <v>272</v>
      </c>
      <c r="C34" s="79">
        <v>30000</v>
      </c>
      <c r="E34" s="29"/>
    </row>
    <row r="35" spans="1:5" ht="12.75">
      <c r="A35" s="91">
        <v>12</v>
      </c>
      <c r="B35" s="25" t="s">
        <v>363</v>
      </c>
      <c r="C35" s="349">
        <v>13358.78</v>
      </c>
      <c r="E35" s="29"/>
    </row>
    <row r="36" spans="1:3" ht="12.75">
      <c r="A36" s="50"/>
      <c r="B36" s="20" t="s">
        <v>629</v>
      </c>
      <c r="C36" s="51">
        <f>SUM(C24:C35)</f>
        <v>412852.7</v>
      </c>
    </row>
    <row r="37" spans="1:3" ht="12.75">
      <c r="A37" s="49"/>
      <c r="B37" s="8" t="s">
        <v>965</v>
      </c>
      <c r="C37" s="45"/>
    </row>
    <row r="38" spans="1:3" ht="12.75">
      <c r="A38" s="84">
        <v>1</v>
      </c>
      <c r="B38" s="9" t="s">
        <v>228</v>
      </c>
      <c r="C38" s="48">
        <f>(C19)*15%</f>
        <v>105491.55900000001</v>
      </c>
    </row>
    <row r="39" spans="1:3" ht="12.75">
      <c r="A39" s="84">
        <v>2</v>
      </c>
      <c r="B39" s="9" t="s">
        <v>813</v>
      </c>
      <c r="C39" s="48">
        <f>C73</f>
        <v>8271.836488213303</v>
      </c>
    </row>
    <row r="40" spans="1:3" ht="12.75">
      <c r="A40" s="84">
        <v>3</v>
      </c>
      <c r="B40" s="9" t="s">
        <v>653</v>
      </c>
      <c r="C40" s="48">
        <f>C74</f>
        <v>8984.440096013917</v>
      </c>
    </row>
    <row r="41" spans="1:3" ht="12.75">
      <c r="A41" s="84">
        <v>4</v>
      </c>
      <c r="B41" s="9" t="s">
        <v>1114</v>
      </c>
      <c r="C41" s="52">
        <f>C75</f>
        <v>18238.772614102647</v>
      </c>
    </row>
    <row r="42" spans="1:3" ht="12.75">
      <c r="A42" s="84">
        <v>5</v>
      </c>
      <c r="B42" s="9" t="s">
        <v>162</v>
      </c>
      <c r="C42" s="52">
        <f>C76</f>
        <v>13722.530445639793</v>
      </c>
    </row>
    <row r="43" spans="1:3" ht="12.75">
      <c r="A43" s="84">
        <v>6</v>
      </c>
      <c r="B43" s="9" t="s">
        <v>1051</v>
      </c>
      <c r="C43" s="48">
        <f>C77+C79+C80+C81+C78</f>
        <v>23287.07615315781</v>
      </c>
    </row>
    <row r="44" spans="1:3" ht="12.75">
      <c r="A44" s="49"/>
      <c r="B44" s="74" t="s">
        <v>809</v>
      </c>
      <c r="C44" s="53"/>
    </row>
    <row r="45" spans="1:3" ht="12.75">
      <c r="A45" s="49"/>
      <c r="B45" s="5" t="s">
        <v>655</v>
      </c>
      <c r="C45" s="53"/>
    </row>
    <row r="46" spans="1:3" ht="12.75">
      <c r="A46" s="49"/>
      <c r="B46" s="74" t="s">
        <v>656</v>
      </c>
      <c r="C46" s="53"/>
    </row>
    <row r="47" spans="1:3" ht="12.75">
      <c r="A47" s="49"/>
      <c r="B47" s="74" t="s">
        <v>808</v>
      </c>
      <c r="C47" s="53"/>
    </row>
    <row r="48" spans="1:3" ht="12.75">
      <c r="A48" s="50"/>
      <c r="B48" s="20" t="s">
        <v>629</v>
      </c>
      <c r="C48" s="51">
        <f>C38+C39+C40+C41+C42+C43</f>
        <v>177996.21479712747</v>
      </c>
    </row>
    <row r="49" spans="1:3" ht="12.75">
      <c r="A49" s="49"/>
      <c r="B49" s="7" t="s">
        <v>966</v>
      </c>
      <c r="C49" s="45"/>
    </row>
    <row r="50" spans="1:3" ht="12.75">
      <c r="A50" s="84">
        <v>1</v>
      </c>
      <c r="B50" s="9" t="s">
        <v>631</v>
      </c>
      <c r="C50" s="48">
        <f>C19*2%</f>
        <v>14065.541200000001</v>
      </c>
    </row>
    <row r="51" spans="1:3" ht="12.75">
      <c r="A51" s="84">
        <v>2</v>
      </c>
      <c r="B51" s="9" t="s">
        <v>391</v>
      </c>
      <c r="C51" s="48">
        <f>C52</f>
        <v>41352.691128000006</v>
      </c>
    </row>
    <row r="52" spans="1:4" ht="12.75">
      <c r="A52" s="49"/>
      <c r="B52" s="5" t="s">
        <v>334</v>
      </c>
      <c r="C52" s="41">
        <f>(C19-C50)*6%</f>
        <v>41352.691128000006</v>
      </c>
      <c r="D52" s="19"/>
    </row>
    <row r="53" spans="1:3" ht="13.5" thickBot="1">
      <c r="A53" s="54"/>
      <c r="B53" s="55" t="s">
        <v>967</v>
      </c>
      <c r="C53" s="56">
        <f>C50+C51</f>
        <v>55418.232328000006</v>
      </c>
    </row>
    <row r="54" spans="1:3" ht="12.75">
      <c r="A54" s="23"/>
      <c r="B54" s="4" t="s">
        <v>288</v>
      </c>
      <c r="C54" s="11">
        <f>C36+C48+C53</f>
        <v>646267.1471251275</v>
      </c>
    </row>
    <row r="55" spans="1:3" ht="12.75">
      <c r="A55" s="23"/>
      <c r="B55" s="77"/>
      <c r="C55" s="1"/>
    </row>
    <row r="56" spans="1:3" ht="15">
      <c r="A56" s="23"/>
      <c r="B56" s="14" t="s">
        <v>812</v>
      </c>
      <c r="C56" s="1">
        <v>158743.99</v>
      </c>
    </row>
    <row r="57" spans="1:3" ht="15">
      <c r="A57" s="23"/>
      <c r="B57" s="14" t="s">
        <v>180</v>
      </c>
      <c r="C57" s="11">
        <f>C54+C56-C19</f>
        <v>101734.07712512743</v>
      </c>
    </row>
    <row r="58" ht="12.75">
      <c r="B58" s="1" t="s">
        <v>85</v>
      </c>
    </row>
    <row r="59" ht="25.5" customHeight="1">
      <c r="B59" s="1" t="s">
        <v>1197</v>
      </c>
    </row>
    <row r="60" spans="1:4" ht="12.75">
      <c r="A60" s="2"/>
      <c r="B60" s="2"/>
      <c r="C60" s="2" t="s">
        <v>790</v>
      </c>
      <c r="D60" s="2"/>
    </row>
    <row r="61" spans="1:4" ht="12.75">
      <c r="A61" s="2"/>
      <c r="B61" s="2"/>
      <c r="C61" s="2" t="s">
        <v>23</v>
      </c>
      <c r="D61" s="2"/>
    </row>
    <row r="62" spans="1:5" ht="13.5" thickBot="1">
      <c r="A62" s="37"/>
      <c r="B62" s="37" t="s">
        <v>969</v>
      </c>
      <c r="C62" s="32" t="s">
        <v>886</v>
      </c>
      <c r="D62" s="114">
        <f>C8+C9</f>
        <v>3932.6</v>
      </c>
      <c r="E62" t="s">
        <v>116</v>
      </c>
    </row>
    <row r="63" spans="1:5" ht="12.75">
      <c r="A63" s="60" t="s">
        <v>218</v>
      </c>
      <c r="B63" s="39" t="s">
        <v>286</v>
      </c>
      <c r="C63" s="47">
        <v>214991.65</v>
      </c>
      <c r="D63" s="15"/>
      <c r="E63" s="21"/>
    </row>
    <row r="64" spans="1:5" ht="12.75">
      <c r="A64" s="61"/>
      <c r="B64" s="6" t="s">
        <v>118</v>
      </c>
      <c r="C64" s="41"/>
      <c r="D64" s="15"/>
      <c r="E64" s="21"/>
    </row>
    <row r="65" spans="1:5" ht="12.75">
      <c r="A65" s="62" t="s">
        <v>166</v>
      </c>
      <c r="B65" s="6" t="s">
        <v>380</v>
      </c>
      <c r="C65" s="41">
        <v>6930</v>
      </c>
      <c r="D65" s="15"/>
      <c r="E65" s="15"/>
    </row>
    <row r="66" spans="1:5" ht="13.5" thickBot="1">
      <c r="A66" s="62" t="s">
        <v>166</v>
      </c>
      <c r="B66" s="6" t="s">
        <v>277</v>
      </c>
      <c r="C66" s="41">
        <v>17600</v>
      </c>
      <c r="D66" s="15"/>
      <c r="E66" s="15"/>
    </row>
    <row r="67" spans="1:5" ht="12.75">
      <c r="A67" s="60" t="s">
        <v>328</v>
      </c>
      <c r="B67" s="39" t="s">
        <v>343</v>
      </c>
      <c r="C67" s="47">
        <v>11090.24</v>
      </c>
      <c r="D67" s="15"/>
      <c r="E67" s="12"/>
    </row>
    <row r="68" spans="1:5" ht="12.75">
      <c r="A68" s="61"/>
      <c r="B68" s="6" t="s">
        <v>118</v>
      </c>
      <c r="C68" s="41"/>
      <c r="D68" s="15"/>
      <c r="E68" s="12"/>
    </row>
    <row r="69" spans="1:5" ht="12.75">
      <c r="A69" s="62" t="s">
        <v>166</v>
      </c>
      <c r="B69" s="6" t="s">
        <v>380</v>
      </c>
      <c r="C69" s="41">
        <v>1735</v>
      </c>
      <c r="D69" s="15"/>
      <c r="E69" s="12"/>
    </row>
    <row r="70" spans="1:5" ht="13.5" thickBot="1">
      <c r="A70" s="63" t="s">
        <v>166</v>
      </c>
      <c r="B70" s="42" t="s">
        <v>818</v>
      </c>
      <c r="C70" s="46">
        <v>218.38</v>
      </c>
      <c r="D70" s="15"/>
      <c r="E70" s="15"/>
    </row>
    <row r="71" spans="1:5" ht="12.75">
      <c r="A71" s="300" t="s">
        <v>787</v>
      </c>
      <c r="B71" s="97" t="s">
        <v>1050</v>
      </c>
      <c r="C71" s="82">
        <f>C72+C73+C75+C74+C76+C77+C79+C80+C81+C78</f>
        <v>177996.2147971275</v>
      </c>
      <c r="D71" s="15"/>
      <c r="E71" s="12"/>
    </row>
    <row r="72" spans="1:5" ht="13.5" thickBot="1">
      <c r="A72" s="40" t="s">
        <v>166</v>
      </c>
      <c r="B72" s="6" t="s">
        <v>227</v>
      </c>
      <c r="C72" s="41">
        <f>C38</f>
        <v>105491.55900000001</v>
      </c>
      <c r="D72" s="15"/>
      <c r="E72" s="12"/>
    </row>
    <row r="73" spans="1:5" ht="12.75">
      <c r="A73" s="40" t="s">
        <v>166</v>
      </c>
      <c r="B73" s="6" t="s">
        <v>370</v>
      </c>
      <c r="C73" s="317">
        <f>401410.25/185335.63*C8</f>
        <v>8271.836488213303</v>
      </c>
      <c r="D73" s="375" t="s">
        <v>14</v>
      </c>
      <c r="E73" s="376"/>
    </row>
    <row r="74" spans="1:5" ht="12.75">
      <c r="A74" s="73" t="s">
        <v>166</v>
      </c>
      <c r="B74" s="74" t="s">
        <v>397</v>
      </c>
      <c r="C74" s="317">
        <f>435991.01/185335.63*C8</f>
        <v>8984.440096013917</v>
      </c>
      <c r="D74" s="377" t="s">
        <v>15</v>
      </c>
      <c r="E74" s="378"/>
    </row>
    <row r="75" spans="1:5" ht="12.75">
      <c r="A75" s="71" t="s">
        <v>166</v>
      </c>
      <c r="B75" s="72" t="s">
        <v>416</v>
      </c>
      <c r="C75" s="317">
        <f>1082167/226605.83*C8</f>
        <v>18238.772614102647</v>
      </c>
      <c r="D75" s="379" t="s">
        <v>16</v>
      </c>
      <c r="E75" s="380"/>
    </row>
    <row r="76" spans="1:5" ht="12.75">
      <c r="A76" s="73" t="s">
        <v>166</v>
      </c>
      <c r="B76" s="72" t="s">
        <v>231</v>
      </c>
      <c r="C76" s="318">
        <f>845684.35/242356.05*D62</f>
        <v>13722.530445639793</v>
      </c>
      <c r="D76" s="381" t="s">
        <v>17</v>
      </c>
      <c r="E76" s="382"/>
    </row>
    <row r="77" spans="1:5" ht="12.75">
      <c r="A77" s="73" t="s">
        <v>166</v>
      </c>
      <c r="B77" s="74" t="s">
        <v>808</v>
      </c>
      <c r="C77" s="318">
        <f>642562.44/242356.05*D62</f>
        <v>10426.564765121397</v>
      </c>
      <c r="D77" s="371" t="s">
        <v>18</v>
      </c>
      <c r="E77" s="372"/>
    </row>
    <row r="78" spans="1:5" ht="12.75">
      <c r="A78" s="73" t="s">
        <v>166</v>
      </c>
      <c r="B78" s="74" t="s">
        <v>826</v>
      </c>
      <c r="C78" s="318">
        <f>51615/196822.43*D62</f>
        <v>1031.2907375444963</v>
      </c>
      <c r="D78" s="371" t="s">
        <v>19</v>
      </c>
      <c r="E78" s="372"/>
    </row>
    <row r="79" spans="1:5" ht="12.75">
      <c r="A79" s="73" t="s">
        <v>166</v>
      </c>
      <c r="B79" s="74" t="s">
        <v>655</v>
      </c>
      <c r="C79" s="318">
        <f>129011.28/196822.43*D62</f>
        <v>2577.7029565583557</v>
      </c>
      <c r="D79" s="371" t="s">
        <v>20</v>
      </c>
      <c r="E79" s="372"/>
    </row>
    <row r="80" spans="1:5" ht="12.75">
      <c r="A80" s="73" t="s">
        <v>166</v>
      </c>
      <c r="B80" s="74" t="s">
        <v>656</v>
      </c>
      <c r="C80" s="318">
        <f>164128/196822.43*D62</f>
        <v>3279.350695954724</v>
      </c>
      <c r="D80" s="373" t="s">
        <v>21</v>
      </c>
      <c r="E80" s="374"/>
    </row>
    <row r="81" spans="1:5" ht="13.5" thickBot="1">
      <c r="A81" s="75" t="s">
        <v>166</v>
      </c>
      <c r="B81" s="76" t="s">
        <v>809</v>
      </c>
      <c r="C81" s="319">
        <f>298900.58/196822.43*D62</f>
        <v>5972.1669979788385</v>
      </c>
      <c r="D81" s="369" t="s">
        <v>22</v>
      </c>
      <c r="E81" s="370"/>
    </row>
    <row r="82" ht="13.5" thickBot="1"/>
    <row r="83" spans="2:5" ht="26.25" thickBot="1">
      <c r="B83" s="143"/>
      <c r="C83" s="205" t="s">
        <v>104</v>
      </c>
      <c r="D83" s="236" t="s">
        <v>306</v>
      </c>
      <c r="E83" s="130" t="s">
        <v>305</v>
      </c>
    </row>
    <row r="84" spans="2:5" ht="13.5" thickBot="1">
      <c r="B84" s="363" t="s">
        <v>1047</v>
      </c>
      <c r="C84" s="364"/>
      <c r="D84" s="364"/>
      <c r="E84" s="365"/>
    </row>
    <row r="85" spans="2:5" ht="12.75">
      <c r="B85" s="140" t="s">
        <v>285</v>
      </c>
      <c r="C85" s="234">
        <v>321960.47</v>
      </c>
      <c r="D85" s="218">
        <v>362976.77</v>
      </c>
      <c r="E85" s="253">
        <f>D85-C85</f>
        <v>41016.30000000005</v>
      </c>
    </row>
    <row r="86" spans="2:5" ht="12.75">
      <c r="B86" s="115" t="s">
        <v>637</v>
      </c>
      <c r="C86" s="10">
        <v>171730.37</v>
      </c>
      <c r="D86" s="99">
        <v>189050.4</v>
      </c>
      <c r="E86" s="53">
        <f>D86-C86</f>
        <v>17320.03</v>
      </c>
    </row>
    <row r="87" spans="2:5" ht="12.75">
      <c r="B87" s="220" t="s">
        <v>633</v>
      </c>
      <c r="C87" s="125">
        <v>35411.54</v>
      </c>
      <c r="D87" s="125">
        <v>40101.6</v>
      </c>
      <c r="E87" s="81">
        <f>D87-C87</f>
        <v>4690.059999999998</v>
      </c>
    </row>
    <row r="88" spans="2:5" ht="12.75">
      <c r="B88" s="269" t="s">
        <v>163</v>
      </c>
      <c r="C88" s="107">
        <v>289711.35</v>
      </c>
      <c r="D88" s="107">
        <v>297558.88</v>
      </c>
      <c r="E88" s="81">
        <f>D88-C88</f>
        <v>7847.530000000028</v>
      </c>
    </row>
    <row r="89" spans="2:5" ht="12.75">
      <c r="B89" s="269" t="s">
        <v>273</v>
      </c>
      <c r="C89" s="107">
        <v>26160</v>
      </c>
      <c r="D89" s="107">
        <v>26160</v>
      </c>
      <c r="E89" s="81">
        <v>0</v>
      </c>
    </row>
    <row r="90" spans="2:5" ht="12.75">
      <c r="B90" s="115" t="s">
        <v>1200</v>
      </c>
      <c r="C90" s="125">
        <v>4073.02</v>
      </c>
      <c r="D90" s="125">
        <v>4073.02</v>
      </c>
      <c r="E90" s="81">
        <v>0</v>
      </c>
    </row>
    <row r="91" spans="2:5" ht="12.75">
      <c r="B91" s="115" t="s">
        <v>364</v>
      </c>
      <c r="C91" s="125">
        <v>13410.4</v>
      </c>
      <c r="D91" s="125">
        <v>15200.51</v>
      </c>
      <c r="E91" s="81">
        <f>D91-C91</f>
        <v>1790.1100000000006</v>
      </c>
    </row>
    <row r="92" spans="2:5" ht="13.5" thickBot="1">
      <c r="B92" s="157" t="s">
        <v>232</v>
      </c>
      <c r="C92" s="274">
        <v>4669.32</v>
      </c>
      <c r="D92" s="265">
        <v>17630.87</v>
      </c>
      <c r="E92" s="262">
        <f>D92-C92</f>
        <v>12961.55</v>
      </c>
    </row>
    <row r="93" spans="2:5" ht="13.5" thickBot="1">
      <c r="B93" s="153"/>
      <c r="C93" s="286">
        <f>SUM(C85:C92)</f>
        <v>867126.47</v>
      </c>
      <c r="D93" s="286">
        <f>SUM(D85:D92)</f>
        <v>952752.05</v>
      </c>
      <c r="E93" s="158">
        <f>SUM(E85:E92)</f>
        <v>85625.58000000007</v>
      </c>
    </row>
    <row r="94" spans="2:5" ht="13.5" thickBot="1">
      <c r="B94" s="363" t="s">
        <v>329</v>
      </c>
      <c r="C94" s="364"/>
      <c r="D94" s="364"/>
      <c r="E94" s="365"/>
    </row>
    <row r="95" spans="2:5" ht="12.75">
      <c r="B95" s="140" t="s">
        <v>285</v>
      </c>
      <c r="C95" s="141">
        <v>174782.44</v>
      </c>
      <c r="D95" s="155">
        <v>158853.7</v>
      </c>
      <c r="E95" s="242">
        <f aca="true" t="shared" si="1" ref="E95:E100">D95-C95</f>
        <v>-15928.73999999999</v>
      </c>
    </row>
    <row r="96" spans="2:5" ht="12.75">
      <c r="B96" s="115" t="s">
        <v>637</v>
      </c>
      <c r="C96" s="5">
        <v>83828.53</v>
      </c>
      <c r="D96" s="33">
        <v>77327.55</v>
      </c>
      <c r="E96" s="57">
        <f t="shared" si="1"/>
        <v>-6500.979999999996</v>
      </c>
    </row>
    <row r="97" spans="2:5" ht="12.75">
      <c r="B97" s="220" t="s">
        <v>633</v>
      </c>
      <c r="C97" s="125">
        <v>30878.2</v>
      </c>
      <c r="D97" s="125">
        <v>28639.5</v>
      </c>
      <c r="E97" s="128">
        <f t="shared" si="1"/>
        <v>-2238.7000000000007</v>
      </c>
    </row>
    <row r="98" spans="2:5" ht="12.75">
      <c r="B98" s="269" t="s">
        <v>163</v>
      </c>
      <c r="C98" s="107">
        <v>1031.15</v>
      </c>
      <c r="D98" s="107">
        <v>0</v>
      </c>
      <c r="E98" s="128">
        <f t="shared" si="1"/>
        <v>-1031.15</v>
      </c>
    </row>
    <row r="99" spans="2:5" ht="12.75">
      <c r="B99" s="116" t="s">
        <v>816</v>
      </c>
      <c r="C99" s="94">
        <v>19930.82</v>
      </c>
      <c r="D99" s="83">
        <v>5973.66</v>
      </c>
      <c r="E99" s="57">
        <f t="shared" si="1"/>
        <v>-13957.16</v>
      </c>
    </row>
    <row r="100" spans="2:5" ht="13.5" thickBot="1">
      <c r="B100" s="156" t="s">
        <v>811</v>
      </c>
      <c r="C100" s="247">
        <v>12270.8</v>
      </c>
      <c r="D100" s="226">
        <v>11265.15</v>
      </c>
      <c r="E100" s="222">
        <f t="shared" si="1"/>
        <v>-1005.6499999999996</v>
      </c>
    </row>
    <row r="101" spans="2:5" ht="13.5" thickBot="1">
      <c r="B101" s="153"/>
      <c r="C101" s="286">
        <f>SUM(C95:C100)</f>
        <v>322721.94</v>
      </c>
      <c r="D101" s="286">
        <f>SUM(D95:D100)</f>
        <v>282059.56</v>
      </c>
      <c r="E101" s="158">
        <f>SUM(E95:E100)</f>
        <v>-40662.37999999999</v>
      </c>
    </row>
    <row r="102" spans="2:5" ht="13.5" thickBot="1">
      <c r="B102" s="363" t="s">
        <v>87</v>
      </c>
      <c r="C102" s="364"/>
      <c r="D102" s="364"/>
      <c r="E102" s="365"/>
    </row>
    <row r="103" spans="2:5" ht="12.75">
      <c r="B103" s="140" t="s">
        <v>285</v>
      </c>
      <c r="C103" s="141">
        <v>365884.39</v>
      </c>
      <c r="D103" s="155">
        <v>400858.71</v>
      </c>
      <c r="E103" s="242">
        <f aca="true" t="shared" si="2" ref="E103:E109">D103-C103</f>
        <v>34974.32000000001</v>
      </c>
    </row>
    <row r="104" spans="2:5" ht="12.75">
      <c r="B104" s="115" t="s">
        <v>637</v>
      </c>
      <c r="C104" s="5">
        <v>179845.79</v>
      </c>
      <c r="D104" s="34">
        <v>196379.28</v>
      </c>
      <c r="E104" s="57">
        <f t="shared" si="2"/>
        <v>16533.48999999999</v>
      </c>
    </row>
    <row r="105" spans="2:5" ht="12.75">
      <c r="B105" s="115" t="s">
        <v>633</v>
      </c>
      <c r="C105" s="65">
        <v>67026.85</v>
      </c>
      <c r="D105" s="70">
        <v>75163.79</v>
      </c>
      <c r="E105" s="57">
        <f t="shared" si="2"/>
        <v>8136.939999999988</v>
      </c>
    </row>
    <row r="106" spans="2:5" ht="12.75">
      <c r="B106" s="116" t="s">
        <v>364</v>
      </c>
      <c r="C106" s="94">
        <v>37689.9</v>
      </c>
      <c r="D106" s="83">
        <v>40383.86</v>
      </c>
      <c r="E106" s="57">
        <f t="shared" si="2"/>
        <v>2693.959999999999</v>
      </c>
    </row>
    <row r="107" spans="2:5" ht="12.75">
      <c r="B107" s="116" t="s">
        <v>29</v>
      </c>
      <c r="C107" s="94">
        <f>14000+596.4</f>
        <v>14596.4</v>
      </c>
      <c r="D107" s="83">
        <f>15000+344.4</f>
        <v>15344.4</v>
      </c>
      <c r="E107" s="57">
        <f t="shared" si="2"/>
        <v>748</v>
      </c>
    </row>
    <row r="108" spans="2:5" ht="12.75">
      <c r="B108" s="269" t="s">
        <v>163</v>
      </c>
      <c r="C108" s="122">
        <v>4728.45</v>
      </c>
      <c r="D108" s="122">
        <v>459.05</v>
      </c>
      <c r="E108" s="66">
        <f t="shared" si="2"/>
        <v>-4269.4</v>
      </c>
    </row>
    <row r="109" spans="2:5" ht="13.5" thickBot="1">
      <c r="B109" s="157" t="s">
        <v>805</v>
      </c>
      <c r="C109" s="225">
        <v>33505.28</v>
      </c>
      <c r="D109" s="226">
        <v>31589.42</v>
      </c>
      <c r="E109" s="222">
        <f t="shared" si="2"/>
        <v>-1915.8600000000006</v>
      </c>
    </row>
    <row r="110" spans="2:5" ht="13.5" thickBot="1">
      <c r="B110" s="153"/>
      <c r="C110" s="152">
        <f>SUM(C103:C109)</f>
        <v>703277.06</v>
      </c>
      <c r="D110" s="138">
        <f>SUM(D103:D109)</f>
        <v>760178.5100000001</v>
      </c>
      <c r="E110" s="139">
        <f>SUM(E103:E109)</f>
        <v>56901.44999999998</v>
      </c>
    </row>
    <row r="111" spans="2:5" ht="13.5" thickBot="1">
      <c r="B111" s="366" t="s">
        <v>379</v>
      </c>
      <c r="C111" s="367"/>
      <c r="D111" s="367"/>
      <c r="E111" s="368"/>
    </row>
    <row r="112" spans="2:5" ht="13.5" thickBot="1">
      <c r="B112" s="153"/>
      <c r="C112" s="175">
        <f>C93+C101+C110</f>
        <v>1893125.47</v>
      </c>
      <c r="D112" s="175">
        <f>D93+D101+D110</f>
        <v>1994990.12</v>
      </c>
      <c r="E112" s="175">
        <f>E93+E101+E110</f>
        <v>101864.65000000007</v>
      </c>
    </row>
  </sheetData>
  <sheetProtection/>
  <mergeCells count="21">
    <mergeCell ref="A2:B2"/>
    <mergeCell ref="C2:E2"/>
    <mergeCell ref="C3:E3"/>
    <mergeCell ref="B4:E4"/>
    <mergeCell ref="D73:E73"/>
    <mergeCell ref="D74:E74"/>
    <mergeCell ref="D75:E75"/>
    <mergeCell ref="D76:E76"/>
    <mergeCell ref="A6:E6"/>
    <mergeCell ref="A20:D20"/>
    <mergeCell ref="A21:D21"/>
    <mergeCell ref="D25:E25"/>
    <mergeCell ref="B102:E102"/>
    <mergeCell ref="B111:E111"/>
    <mergeCell ref="B94:E94"/>
    <mergeCell ref="D81:E81"/>
    <mergeCell ref="B84:E84"/>
    <mergeCell ref="D77:E77"/>
    <mergeCell ref="D78:E78"/>
    <mergeCell ref="D79:E79"/>
    <mergeCell ref="D80:E80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scale="97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56.125" style="0" customWidth="1"/>
    <col min="3" max="3" width="10.75390625" style="0" customWidth="1"/>
    <col min="4" max="5" width="12.8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6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1052</v>
      </c>
      <c r="C7" s="26"/>
      <c r="D7" s="24"/>
    </row>
    <row r="8" spans="1:4" ht="15">
      <c r="A8" s="26"/>
      <c r="B8" s="27" t="s">
        <v>115</v>
      </c>
      <c r="C8" s="38">
        <v>3920.4</v>
      </c>
      <c r="D8" s="92" t="s">
        <v>116</v>
      </c>
    </row>
    <row r="9" spans="1:4" ht="15">
      <c r="A9" s="26"/>
      <c r="B9" s="27" t="s">
        <v>654</v>
      </c>
      <c r="C9" s="93">
        <v>566.96</v>
      </c>
      <c r="D9" s="92" t="s">
        <v>116</v>
      </c>
    </row>
    <row r="10" spans="1:5" ht="13.5" thickBot="1">
      <c r="A10" s="23" t="s">
        <v>635</v>
      </c>
      <c r="B10" s="3" t="s">
        <v>636</v>
      </c>
      <c r="C10" s="12"/>
      <c r="D10" s="21"/>
      <c r="E10" s="31"/>
    </row>
    <row r="11" spans="1:5" ht="39" thickBot="1">
      <c r="A11" s="237"/>
      <c r="B11" s="238" t="s">
        <v>103</v>
      </c>
      <c r="C11" s="239" t="s">
        <v>104</v>
      </c>
      <c r="D11" s="240" t="s">
        <v>306</v>
      </c>
      <c r="E11" s="241" t="s">
        <v>378</v>
      </c>
    </row>
    <row r="12" spans="1:5" ht="12.75">
      <c r="A12" s="113">
        <v>1</v>
      </c>
      <c r="B12" s="141" t="s">
        <v>285</v>
      </c>
      <c r="C12" s="141">
        <v>569529.42</v>
      </c>
      <c r="D12" s="155">
        <f>593274.05+121.73</f>
        <v>593395.78</v>
      </c>
      <c r="E12" s="242">
        <f aca="true" t="shared" si="0" ref="E12:E18">D12-C12</f>
        <v>23866.359999999986</v>
      </c>
    </row>
    <row r="13" spans="1:5" ht="12.75">
      <c r="A13" s="84">
        <v>2</v>
      </c>
      <c r="B13" s="5" t="s">
        <v>637</v>
      </c>
      <c r="C13" s="5">
        <v>129723.03</v>
      </c>
      <c r="D13" s="34">
        <v>135253.98</v>
      </c>
      <c r="E13" s="57">
        <f t="shared" si="0"/>
        <v>5530.950000000012</v>
      </c>
    </row>
    <row r="14" spans="1:5" ht="12.75">
      <c r="A14" s="87">
        <v>3</v>
      </c>
      <c r="B14" s="65" t="s">
        <v>364</v>
      </c>
      <c r="C14" s="65">
        <v>50915.83</v>
      </c>
      <c r="D14" s="70">
        <v>51753.68</v>
      </c>
      <c r="E14" s="57">
        <f t="shared" si="0"/>
        <v>837.8499999999985</v>
      </c>
    </row>
    <row r="15" spans="1:5" ht="12.75">
      <c r="A15" s="84">
        <v>4</v>
      </c>
      <c r="B15" s="65" t="s">
        <v>29</v>
      </c>
      <c r="C15" s="94">
        <f>2400+3600+7320.36+7200+97200+4000</f>
        <v>121720.36</v>
      </c>
      <c r="D15" s="83">
        <f>2400+3600+7320.36+7200+97200+1000</f>
        <v>118720.36</v>
      </c>
      <c r="E15" s="57">
        <f t="shared" si="0"/>
        <v>-3000</v>
      </c>
    </row>
    <row r="16" spans="1:5" ht="12.75">
      <c r="A16" s="84">
        <v>5</v>
      </c>
      <c r="B16" s="105" t="s">
        <v>415</v>
      </c>
      <c r="C16" s="122">
        <v>38729.34</v>
      </c>
      <c r="D16" s="122">
        <v>42800</v>
      </c>
      <c r="E16" s="66">
        <f t="shared" si="0"/>
        <v>4070.6600000000035</v>
      </c>
    </row>
    <row r="17" spans="1:5" ht="12.75">
      <c r="A17" s="87">
        <v>6</v>
      </c>
      <c r="B17" s="105" t="s">
        <v>372</v>
      </c>
      <c r="C17" s="122">
        <v>1000</v>
      </c>
      <c r="D17" s="122">
        <v>1000</v>
      </c>
      <c r="E17" s="66">
        <f t="shared" si="0"/>
        <v>0</v>
      </c>
    </row>
    <row r="18" spans="1:5" ht="13.5" thickBot="1">
      <c r="A18" s="87">
        <v>7</v>
      </c>
      <c r="B18" s="5" t="s">
        <v>805</v>
      </c>
      <c r="C18" s="67">
        <f>66963.6+62751.85</f>
        <v>129715.45000000001</v>
      </c>
      <c r="D18" s="83">
        <f>66963.6+58004.27</f>
        <v>124967.87</v>
      </c>
      <c r="E18" s="57">
        <f t="shared" si="0"/>
        <v>-4747.580000000016</v>
      </c>
    </row>
    <row r="19" spans="1:5" ht="13.5" thickBot="1">
      <c r="A19" s="208"/>
      <c r="B19" s="209"/>
      <c r="C19" s="135">
        <f>SUM(C12:C18)</f>
        <v>1041333.4299999999</v>
      </c>
      <c r="D19" s="135">
        <f>SUM(D12:D18)</f>
        <v>1067891.67</v>
      </c>
      <c r="E19" s="136">
        <f>SUM(E12:E18)</f>
        <v>26558.239999999983</v>
      </c>
    </row>
    <row r="20" spans="1:5" ht="12.75">
      <c r="A20" s="385" t="s">
        <v>793</v>
      </c>
      <c r="B20" s="386"/>
      <c r="C20" s="386"/>
      <c r="D20" s="386"/>
      <c r="E20" s="108">
        <f>E133</f>
        <v>228660.16</v>
      </c>
    </row>
    <row r="21" spans="1:5" ht="12.75">
      <c r="A21" s="387" t="s">
        <v>794</v>
      </c>
      <c r="B21" s="384"/>
      <c r="C21" s="384"/>
      <c r="D21" s="384"/>
      <c r="E21" s="22">
        <v>217652.27</v>
      </c>
    </row>
    <row r="22" spans="1:2" ht="12.75">
      <c r="A22" s="37"/>
      <c r="B22" s="3" t="s">
        <v>217</v>
      </c>
    </row>
    <row r="23" spans="1:2" ht="13.5" thickBot="1">
      <c r="A23" s="37"/>
      <c r="B23" s="30" t="s">
        <v>964</v>
      </c>
    </row>
    <row r="24" spans="1:5" ht="12.75">
      <c r="A24" s="86">
        <v>1</v>
      </c>
      <c r="B24" s="64" t="s">
        <v>417</v>
      </c>
      <c r="C24" s="80">
        <f>C68</f>
        <v>383178.97</v>
      </c>
      <c r="E24" s="29"/>
    </row>
    <row r="25" spans="1:5" ht="12.75">
      <c r="A25" s="91">
        <v>2</v>
      </c>
      <c r="B25" s="25" t="s">
        <v>344</v>
      </c>
      <c r="C25" s="102">
        <f>C75</f>
        <v>13519.23</v>
      </c>
      <c r="D25" s="388"/>
      <c r="E25" s="389"/>
    </row>
    <row r="26" spans="1:5" ht="12.75">
      <c r="A26" s="84">
        <v>3</v>
      </c>
      <c r="B26" s="9" t="s">
        <v>649</v>
      </c>
      <c r="C26" s="48">
        <v>6730.56</v>
      </c>
      <c r="E26" s="29"/>
    </row>
    <row r="27" spans="1:5" ht="12.75">
      <c r="A27" s="84">
        <v>4</v>
      </c>
      <c r="B27" s="9" t="s">
        <v>122</v>
      </c>
      <c r="C27" s="48">
        <f>(C8*0.55*12)</f>
        <v>25874.640000000003</v>
      </c>
      <c r="E27" s="29"/>
    </row>
    <row r="28" spans="1:5" ht="12.75">
      <c r="A28" s="84">
        <v>5</v>
      </c>
      <c r="B28" s="9" t="s">
        <v>658</v>
      </c>
      <c r="C28" s="79">
        <v>35057.88</v>
      </c>
      <c r="E28" s="29"/>
    </row>
    <row r="29" spans="1:5" ht="12.75">
      <c r="A29" s="91">
        <v>6</v>
      </c>
      <c r="B29" s="25" t="s">
        <v>43</v>
      </c>
      <c r="C29" s="96">
        <v>147243.87</v>
      </c>
      <c r="E29" s="29"/>
    </row>
    <row r="30" spans="1:5" ht="25.5">
      <c r="A30" s="91">
        <v>7</v>
      </c>
      <c r="B30" s="25" t="s">
        <v>47</v>
      </c>
      <c r="C30" s="96">
        <v>54436.97</v>
      </c>
      <c r="E30" s="29"/>
    </row>
    <row r="31" spans="1:5" ht="25.5">
      <c r="A31" s="91">
        <v>8</v>
      </c>
      <c r="B31" s="346" t="s">
        <v>41</v>
      </c>
      <c r="C31" s="96">
        <v>42800</v>
      </c>
      <c r="E31" s="29"/>
    </row>
    <row r="32" spans="1:5" ht="12.75">
      <c r="A32" s="91">
        <v>9</v>
      </c>
      <c r="B32" s="346" t="s">
        <v>26</v>
      </c>
      <c r="C32" s="96">
        <v>600</v>
      </c>
      <c r="E32" s="29"/>
    </row>
    <row r="33" spans="1:5" ht="25.5">
      <c r="A33" s="91">
        <v>10</v>
      </c>
      <c r="B33" s="25" t="s">
        <v>40</v>
      </c>
      <c r="C33" s="96">
        <v>3000</v>
      </c>
      <c r="E33" s="29"/>
    </row>
    <row r="34" spans="1:5" ht="25.5">
      <c r="A34" s="91">
        <v>11</v>
      </c>
      <c r="B34" s="25" t="s">
        <v>45</v>
      </c>
      <c r="C34" s="96">
        <v>9000</v>
      </c>
      <c r="E34" s="29"/>
    </row>
    <row r="35" spans="1:5" ht="12.75">
      <c r="A35" s="91">
        <v>12</v>
      </c>
      <c r="B35" s="25" t="s">
        <v>46</v>
      </c>
      <c r="C35" s="96">
        <v>16500</v>
      </c>
      <c r="E35" s="29"/>
    </row>
    <row r="36" spans="1:5" ht="12.75">
      <c r="A36" s="91">
        <v>13</v>
      </c>
      <c r="B36" s="25" t="s">
        <v>376</v>
      </c>
      <c r="C36" s="96">
        <v>1110</v>
      </c>
      <c r="E36" s="29"/>
    </row>
    <row r="37" spans="1:5" ht="12.75">
      <c r="A37" s="91">
        <v>14</v>
      </c>
      <c r="B37" s="25" t="s">
        <v>48</v>
      </c>
      <c r="C37" s="96">
        <v>4500</v>
      </c>
      <c r="E37" s="29"/>
    </row>
    <row r="38" spans="1:5" ht="25.5">
      <c r="A38" s="91">
        <v>15</v>
      </c>
      <c r="B38" s="25" t="s">
        <v>42</v>
      </c>
      <c r="C38" s="349">
        <v>300</v>
      </c>
      <c r="E38" s="29"/>
    </row>
    <row r="39" spans="1:5" ht="12.75">
      <c r="A39" s="91">
        <v>16</v>
      </c>
      <c r="B39" s="25" t="s">
        <v>363</v>
      </c>
      <c r="C39" s="349">
        <v>283.33</v>
      </c>
      <c r="E39" s="29"/>
    </row>
    <row r="40" spans="1:3" ht="12.75">
      <c r="A40" s="50"/>
      <c r="B40" s="20" t="s">
        <v>629</v>
      </c>
      <c r="C40" s="51">
        <f>SUM(C24:C39)</f>
        <v>744135.4499999998</v>
      </c>
    </row>
    <row r="41" spans="1:3" ht="12.75">
      <c r="A41" s="49"/>
      <c r="B41" s="8" t="s">
        <v>965</v>
      </c>
      <c r="C41" s="45"/>
    </row>
    <row r="42" spans="1:3" ht="12.75">
      <c r="A42" s="84">
        <v>1</v>
      </c>
      <c r="B42" s="9" t="s">
        <v>228</v>
      </c>
      <c r="C42" s="48">
        <f>(C19)*15%</f>
        <v>156200.0145</v>
      </c>
    </row>
    <row r="43" spans="1:3" ht="12.75">
      <c r="A43" s="84">
        <v>2</v>
      </c>
      <c r="B43" s="9" t="s">
        <v>813</v>
      </c>
      <c r="C43" s="48">
        <f>C81</f>
        <v>8491.021095619877</v>
      </c>
    </row>
    <row r="44" spans="1:3" ht="12.75">
      <c r="A44" s="84">
        <v>3</v>
      </c>
      <c r="B44" s="9" t="s">
        <v>653</v>
      </c>
      <c r="C44" s="48">
        <f>C82</f>
        <v>9222.50705708341</v>
      </c>
    </row>
    <row r="45" spans="1:3" ht="12.75">
      <c r="A45" s="84">
        <v>4</v>
      </c>
      <c r="B45" s="9" t="s">
        <v>1114</v>
      </c>
      <c r="C45" s="52">
        <f>C83</f>
        <v>18722.058063554676</v>
      </c>
    </row>
    <row r="46" spans="1:3" ht="12.75">
      <c r="A46" s="84">
        <v>5</v>
      </c>
      <c r="B46" s="9" t="s">
        <v>162</v>
      </c>
      <c r="C46" s="52">
        <f>C84</f>
        <v>15658.3263542049</v>
      </c>
    </row>
    <row r="47" spans="1:3" ht="12.75">
      <c r="A47" s="84">
        <v>6</v>
      </c>
      <c r="B47" s="9" t="s">
        <v>1051</v>
      </c>
      <c r="C47" s="48">
        <f>C85+C87+C88+C89+C86</f>
        <v>26572.113626261063</v>
      </c>
    </row>
    <row r="48" spans="1:3" ht="12.75">
      <c r="A48" s="49"/>
      <c r="B48" s="74" t="s">
        <v>809</v>
      </c>
      <c r="C48" s="53"/>
    </row>
    <row r="49" spans="1:3" ht="12.75">
      <c r="A49" s="49"/>
      <c r="B49" s="5" t="s">
        <v>655</v>
      </c>
      <c r="C49" s="53"/>
    </row>
    <row r="50" spans="1:3" ht="12.75">
      <c r="A50" s="49"/>
      <c r="B50" s="74" t="s">
        <v>656</v>
      </c>
      <c r="C50" s="53"/>
    </row>
    <row r="51" spans="1:3" ht="12.75">
      <c r="A51" s="49"/>
      <c r="B51" s="74" t="s">
        <v>808</v>
      </c>
      <c r="C51" s="53"/>
    </row>
    <row r="52" spans="1:3" ht="12.75">
      <c r="A52" s="50"/>
      <c r="B52" s="20" t="s">
        <v>629</v>
      </c>
      <c r="C52" s="51">
        <f>C42+C43+C44+C45+C46+C47</f>
        <v>234866.04069672394</v>
      </c>
    </row>
    <row r="53" spans="1:3" ht="12.75">
      <c r="A53" s="49"/>
      <c r="B53" s="7" t="s">
        <v>966</v>
      </c>
      <c r="C53" s="45"/>
    </row>
    <row r="54" spans="1:3" ht="12.75">
      <c r="A54" s="84">
        <v>1</v>
      </c>
      <c r="B54" s="9" t="s">
        <v>631</v>
      </c>
      <c r="C54" s="48">
        <f>C19*2%</f>
        <v>20826.6686</v>
      </c>
    </row>
    <row r="55" spans="1:3" ht="12.75">
      <c r="A55" s="84">
        <v>2</v>
      </c>
      <c r="B55" s="9" t="s">
        <v>391</v>
      </c>
      <c r="C55" s="48">
        <f>C56</f>
        <v>61230.405684</v>
      </c>
    </row>
    <row r="56" spans="1:4" ht="12.75">
      <c r="A56" s="49"/>
      <c r="B56" s="5" t="s">
        <v>334</v>
      </c>
      <c r="C56" s="41">
        <f>(C19-C54)*6%</f>
        <v>61230.405684</v>
      </c>
      <c r="D56" s="19"/>
    </row>
    <row r="57" spans="1:3" ht="13.5" thickBot="1">
      <c r="A57" s="54"/>
      <c r="B57" s="55" t="s">
        <v>967</v>
      </c>
      <c r="C57" s="56">
        <f>C54+C55</f>
        <v>82057.074284</v>
      </c>
    </row>
    <row r="58" spans="1:3" ht="12.75">
      <c r="A58" s="23"/>
      <c r="B58" s="4" t="s">
        <v>288</v>
      </c>
      <c r="C58" s="11">
        <f>C40+C52+C57</f>
        <v>1061058.564980724</v>
      </c>
    </row>
    <row r="59" spans="1:3" ht="12.75">
      <c r="A59" s="23"/>
      <c r="B59" s="77"/>
      <c r="C59" s="1"/>
    </row>
    <row r="60" spans="1:3" ht="15">
      <c r="A60" s="23"/>
      <c r="B60" s="14" t="s">
        <v>812</v>
      </c>
      <c r="C60" s="1">
        <v>124503.64</v>
      </c>
    </row>
    <row r="61" spans="1:3" ht="15">
      <c r="A61" s="23"/>
      <c r="B61" s="14" t="s">
        <v>12</v>
      </c>
      <c r="C61" s="1">
        <v>18302.89</v>
      </c>
    </row>
    <row r="62" spans="1:3" ht="15">
      <c r="A62" s="23"/>
      <c r="B62" s="14" t="s">
        <v>180</v>
      </c>
      <c r="C62" s="11">
        <f>C58+C60-C19-C61</f>
        <v>125925.88498072386</v>
      </c>
    </row>
    <row r="63" ht="12.75">
      <c r="B63" s="1" t="s">
        <v>85</v>
      </c>
    </row>
    <row r="64" ht="12.75">
      <c r="B64" s="1" t="s">
        <v>1197</v>
      </c>
    </row>
    <row r="65" spans="1:4" ht="12.75">
      <c r="A65" s="2"/>
      <c r="B65" s="2"/>
      <c r="C65" s="2" t="s">
        <v>790</v>
      </c>
      <c r="D65" s="2"/>
    </row>
    <row r="66" spans="1:4" ht="12.75">
      <c r="A66" s="2"/>
      <c r="B66" s="2"/>
      <c r="C66" s="2" t="s">
        <v>30</v>
      </c>
      <c r="D66" s="2"/>
    </row>
    <row r="67" spans="1:5" ht="13.5" thickBot="1">
      <c r="A67" s="37"/>
      <c r="B67" s="37" t="s">
        <v>969</v>
      </c>
      <c r="C67" s="32" t="s">
        <v>886</v>
      </c>
      <c r="D67" s="114">
        <f>C8+C9</f>
        <v>4487.360000000001</v>
      </c>
      <c r="E67" t="s">
        <v>116</v>
      </c>
    </row>
    <row r="68" spans="1:5" ht="12.75">
      <c r="A68" s="60" t="s">
        <v>218</v>
      </c>
      <c r="B68" s="39" t="s">
        <v>286</v>
      </c>
      <c r="C68" s="47">
        <v>383178.97</v>
      </c>
      <c r="D68" s="15"/>
      <c r="E68" s="21"/>
    </row>
    <row r="69" spans="1:5" ht="12.75">
      <c r="A69" s="61"/>
      <c r="B69" s="6" t="s">
        <v>118</v>
      </c>
      <c r="C69" s="41"/>
      <c r="D69" s="15"/>
      <c r="E69" s="21"/>
    </row>
    <row r="70" spans="1:5" ht="12.75">
      <c r="A70" s="62" t="s">
        <v>166</v>
      </c>
      <c r="B70" s="6" t="s">
        <v>380</v>
      </c>
      <c r="C70" s="41">
        <v>3828.25</v>
      </c>
      <c r="D70" s="15"/>
      <c r="E70" s="15"/>
    </row>
    <row r="71" spans="1:5" ht="12.75">
      <c r="A71" s="62" t="s">
        <v>166</v>
      </c>
      <c r="B71" s="6" t="s">
        <v>44</v>
      </c>
      <c r="C71" s="41">
        <v>10280.82</v>
      </c>
      <c r="D71" s="15"/>
      <c r="E71" s="15"/>
    </row>
    <row r="72" spans="1:5" ht="12.75">
      <c r="A72" s="62" t="s">
        <v>166</v>
      </c>
      <c r="B72" s="6" t="s">
        <v>210</v>
      </c>
      <c r="C72" s="41">
        <v>11975.81</v>
      </c>
      <c r="D72" s="15"/>
      <c r="E72" s="15"/>
    </row>
    <row r="73" spans="1:5" ht="12.75">
      <c r="A73" s="62" t="s">
        <v>166</v>
      </c>
      <c r="B73" s="6" t="s">
        <v>220</v>
      </c>
      <c r="C73" s="41">
        <v>82616.96</v>
      </c>
      <c r="D73" s="15"/>
      <c r="E73" s="15"/>
    </row>
    <row r="74" spans="1:5" ht="13.5" thickBot="1">
      <c r="A74" s="62" t="s">
        <v>166</v>
      </c>
      <c r="B74" s="6" t="s">
        <v>277</v>
      </c>
      <c r="C74" s="41">
        <v>18176</v>
      </c>
      <c r="D74" s="15"/>
      <c r="E74" s="15"/>
    </row>
    <row r="75" spans="1:5" ht="12.75">
      <c r="A75" s="60" t="s">
        <v>328</v>
      </c>
      <c r="B75" s="39" t="s">
        <v>343</v>
      </c>
      <c r="C75" s="47">
        <v>13519.23</v>
      </c>
      <c r="D75" s="15"/>
      <c r="E75" s="12"/>
    </row>
    <row r="76" spans="1:5" ht="12.75">
      <c r="A76" s="61"/>
      <c r="B76" s="6" t="s">
        <v>118</v>
      </c>
      <c r="C76" s="41"/>
      <c r="D76" s="15"/>
      <c r="E76" s="12"/>
    </row>
    <row r="77" spans="1:5" ht="12.75">
      <c r="A77" s="62" t="s">
        <v>166</v>
      </c>
      <c r="B77" s="6" t="s">
        <v>380</v>
      </c>
      <c r="C77" s="41">
        <v>1584</v>
      </c>
      <c r="D77" s="15"/>
      <c r="E77" s="12"/>
    </row>
    <row r="78" spans="1:5" ht="13.5" thickBot="1">
      <c r="A78" s="63" t="s">
        <v>166</v>
      </c>
      <c r="B78" s="42" t="s">
        <v>818</v>
      </c>
      <c r="C78" s="46">
        <v>224.17</v>
      </c>
      <c r="D78" s="15"/>
      <c r="E78" s="15"/>
    </row>
    <row r="79" spans="1:5" ht="12.75">
      <c r="A79" s="300" t="s">
        <v>787</v>
      </c>
      <c r="B79" s="97" t="s">
        <v>1050</v>
      </c>
      <c r="C79" s="82">
        <f>C80+C81+C83+C82+C84+C85+C87+C88+C89+C86</f>
        <v>234866.0406967239</v>
      </c>
      <c r="D79" s="15"/>
      <c r="E79" s="12"/>
    </row>
    <row r="80" spans="1:5" ht="13.5" thickBot="1">
      <c r="A80" s="40" t="s">
        <v>166</v>
      </c>
      <c r="B80" s="6" t="s">
        <v>227</v>
      </c>
      <c r="C80" s="41">
        <f>C42</f>
        <v>156200.0145</v>
      </c>
      <c r="D80" s="15"/>
      <c r="E80" s="12"/>
    </row>
    <row r="81" spans="1:5" ht="12.75">
      <c r="A81" s="40" t="s">
        <v>166</v>
      </c>
      <c r="B81" s="6" t="s">
        <v>370</v>
      </c>
      <c r="C81" s="317">
        <f>401410.25/185335.63*C8</f>
        <v>8491.021095619877</v>
      </c>
      <c r="D81" s="375" t="s">
        <v>31</v>
      </c>
      <c r="E81" s="376"/>
    </row>
    <row r="82" spans="1:5" ht="12.75">
      <c r="A82" s="73" t="s">
        <v>166</v>
      </c>
      <c r="B82" s="74" t="s">
        <v>397</v>
      </c>
      <c r="C82" s="317">
        <f>435991.01/185335.63*C8</f>
        <v>9222.50705708341</v>
      </c>
      <c r="D82" s="377" t="s">
        <v>32</v>
      </c>
      <c r="E82" s="378"/>
    </row>
    <row r="83" spans="1:5" ht="12.75">
      <c r="A83" s="71" t="s">
        <v>166</v>
      </c>
      <c r="B83" s="72" t="s">
        <v>416</v>
      </c>
      <c r="C83" s="317">
        <f>1082167/226605.83*C8</f>
        <v>18722.058063554676</v>
      </c>
      <c r="D83" s="379" t="s">
        <v>33</v>
      </c>
      <c r="E83" s="380"/>
    </row>
    <row r="84" spans="1:5" ht="25.5">
      <c r="A84" s="73" t="s">
        <v>166</v>
      </c>
      <c r="B84" s="72" t="s">
        <v>231</v>
      </c>
      <c r="C84" s="318">
        <f>845684.35/242356.05*D67</f>
        <v>15658.3263542049</v>
      </c>
      <c r="D84" s="381" t="s">
        <v>34</v>
      </c>
      <c r="E84" s="382"/>
    </row>
    <row r="85" spans="1:5" ht="12.75">
      <c r="A85" s="73" t="s">
        <v>166</v>
      </c>
      <c r="B85" s="74" t="s">
        <v>808</v>
      </c>
      <c r="C85" s="318">
        <f>642562.44/242356.05*D67</f>
        <v>11897.408753601983</v>
      </c>
      <c r="D85" s="371" t="s">
        <v>35</v>
      </c>
      <c r="E85" s="372"/>
    </row>
    <row r="86" spans="1:5" ht="12.75">
      <c r="A86" s="73" t="s">
        <v>166</v>
      </c>
      <c r="B86" s="74" t="s">
        <v>826</v>
      </c>
      <c r="C86" s="318">
        <f>51615/196822.43*D67</f>
        <v>1176.7718059369556</v>
      </c>
      <c r="D86" s="371" t="s">
        <v>36</v>
      </c>
      <c r="E86" s="372"/>
    </row>
    <row r="87" spans="1:5" ht="12.75">
      <c r="A87" s="73" t="s">
        <v>166</v>
      </c>
      <c r="B87" s="74" t="s">
        <v>655</v>
      </c>
      <c r="C87" s="318">
        <f>129011.28/196822.43*D67</f>
        <v>2941.3317243405645</v>
      </c>
      <c r="D87" s="371" t="s">
        <v>37</v>
      </c>
      <c r="E87" s="372"/>
    </row>
    <row r="88" spans="1:5" ht="12.75">
      <c r="A88" s="73" t="s">
        <v>166</v>
      </c>
      <c r="B88" s="74" t="s">
        <v>656</v>
      </c>
      <c r="C88" s="318">
        <f>164128/196822.43*D67</f>
        <v>3741.9587903675415</v>
      </c>
      <c r="D88" s="373" t="s">
        <v>38</v>
      </c>
      <c r="E88" s="374"/>
    </row>
    <row r="89" spans="1:5" ht="13.5" thickBot="1">
      <c r="A89" s="75" t="s">
        <v>166</v>
      </c>
      <c r="B89" s="76" t="s">
        <v>809</v>
      </c>
      <c r="C89" s="319">
        <f>298900.58/196822.43*D67</f>
        <v>6814.6425520140165</v>
      </c>
      <c r="D89" s="369" t="s">
        <v>39</v>
      </c>
      <c r="E89" s="370"/>
    </row>
    <row r="90" ht="13.5" thickBot="1"/>
    <row r="91" spans="2:5" ht="24.75" thickBot="1">
      <c r="B91" s="143"/>
      <c r="C91" s="205" t="s">
        <v>104</v>
      </c>
      <c r="D91" s="236" t="s">
        <v>306</v>
      </c>
      <c r="E91" s="130" t="s">
        <v>305</v>
      </c>
    </row>
    <row r="92" spans="2:5" ht="13.5" thickBot="1">
      <c r="B92" s="363" t="s">
        <v>802</v>
      </c>
      <c r="C92" s="364"/>
      <c r="D92" s="364"/>
      <c r="E92" s="365"/>
    </row>
    <row r="93" spans="2:5" ht="12.75">
      <c r="B93" s="140" t="s">
        <v>285</v>
      </c>
      <c r="C93" s="141">
        <v>379803.82</v>
      </c>
      <c r="D93" s="155">
        <v>495936.51</v>
      </c>
      <c r="E93" s="253">
        <f aca="true" t="shared" si="1" ref="E93:E98">D93-C93</f>
        <v>116132.69</v>
      </c>
    </row>
    <row r="94" spans="2:5" ht="12.75">
      <c r="B94" s="115" t="s">
        <v>637</v>
      </c>
      <c r="C94" s="5">
        <v>68604.87</v>
      </c>
      <c r="D94" s="33">
        <v>94104.48</v>
      </c>
      <c r="E94" s="53">
        <f t="shared" si="1"/>
        <v>25499.61</v>
      </c>
    </row>
    <row r="95" spans="2:5" ht="12.75">
      <c r="B95" s="116" t="s">
        <v>278</v>
      </c>
      <c r="C95" s="67">
        <v>19630.19</v>
      </c>
      <c r="D95" s="83">
        <v>29916.47</v>
      </c>
      <c r="E95" s="53">
        <f t="shared" si="1"/>
        <v>10286.280000000002</v>
      </c>
    </row>
    <row r="96" spans="2:5" ht="12.75">
      <c r="B96" s="116" t="s">
        <v>100</v>
      </c>
      <c r="C96" s="67">
        <v>93328</v>
      </c>
      <c r="D96" s="83">
        <v>93328</v>
      </c>
      <c r="E96" s="53">
        <f t="shared" si="1"/>
        <v>0</v>
      </c>
    </row>
    <row r="97" spans="2:5" ht="12.75">
      <c r="B97" s="115" t="s">
        <v>805</v>
      </c>
      <c r="C97" s="67">
        <v>75599.48</v>
      </c>
      <c r="D97" s="83">
        <v>122337.41</v>
      </c>
      <c r="E97" s="53">
        <f t="shared" si="1"/>
        <v>46737.93000000001</v>
      </c>
    </row>
    <row r="98" spans="2:5" ht="13.5" thickBot="1">
      <c r="B98" s="157" t="s">
        <v>292</v>
      </c>
      <c r="C98" s="225">
        <v>84375</v>
      </c>
      <c r="D98" s="226">
        <v>84375</v>
      </c>
      <c r="E98" s="262">
        <f t="shared" si="1"/>
        <v>0</v>
      </c>
    </row>
    <row r="99" spans="2:5" ht="13.5" thickBot="1">
      <c r="B99" s="124"/>
      <c r="C99" s="283">
        <f>SUM(C93:C98)</f>
        <v>721341.36</v>
      </c>
      <c r="D99" s="283">
        <f>SUM(D93:D98)</f>
        <v>919997.87</v>
      </c>
      <c r="E99" s="137">
        <f>SUM(E93:E98)</f>
        <v>198656.51</v>
      </c>
    </row>
    <row r="100" spans="2:5" ht="13.5" thickBot="1">
      <c r="B100" s="363" t="s">
        <v>801</v>
      </c>
      <c r="C100" s="364"/>
      <c r="D100" s="364"/>
      <c r="E100" s="365"/>
    </row>
    <row r="101" spans="2:5" ht="12.75">
      <c r="B101" s="140" t="s">
        <v>285</v>
      </c>
      <c r="C101" s="141">
        <v>522966.13</v>
      </c>
      <c r="D101" s="155">
        <v>495915.43</v>
      </c>
      <c r="E101" s="253">
        <f>D101-C101</f>
        <v>-27050.70000000001</v>
      </c>
    </row>
    <row r="102" spans="2:5" ht="12.75">
      <c r="B102" s="115" t="s">
        <v>637</v>
      </c>
      <c r="C102" s="5">
        <v>116671.65</v>
      </c>
      <c r="D102" s="33">
        <v>112921.92</v>
      </c>
      <c r="E102" s="53">
        <f>D102-C102</f>
        <v>-3749.729999999996</v>
      </c>
    </row>
    <row r="103" spans="2:5" ht="12.75">
      <c r="B103" s="116" t="s">
        <v>278</v>
      </c>
      <c r="C103" s="67">
        <v>51842.14</v>
      </c>
      <c r="D103" s="83">
        <v>51285.37</v>
      </c>
      <c r="E103" s="53">
        <f>D103-C103</f>
        <v>-556.7699999999968</v>
      </c>
    </row>
    <row r="104" spans="2:5" ht="12.75">
      <c r="B104" s="115" t="s">
        <v>805</v>
      </c>
      <c r="C104" s="67">
        <v>201496.16</v>
      </c>
      <c r="D104" s="83">
        <v>239952.16</v>
      </c>
      <c r="E104" s="53">
        <f>D104-C104</f>
        <v>38456</v>
      </c>
    </row>
    <row r="105" spans="2:5" ht="13.5" thickBot="1">
      <c r="B105" s="157" t="s">
        <v>292</v>
      </c>
      <c r="C105" s="67">
        <v>156454.12</v>
      </c>
      <c r="D105" s="83">
        <v>140534.06</v>
      </c>
      <c r="E105" s="262">
        <f>D105-C105</f>
        <v>-15920.059999999998</v>
      </c>
    </row>
    <row r="106" spans="2:5" ht="13.5" thickBot="1">
      <c r="B106" s="153"/>
      <c r="C106" s="286">
        <f>SUM(C101:C105)</f>
        <v>1049430.2000000002</v>
      </c>
      <c r="D106" s="286">
        <f>SUM(D101:D105)</f>
        <v>1040608.94</v>
      </c>
      <c r="E106" s="158">
        <f>SUM(E101:E105)</f>
        <v>-8821.260000000002</v>
      </c>
    </row>
    <row r="107" spans="2:5" ht="13.5" thickBot="1">
      <c r="B107" s="363" t="s">
        <v>1047</v>
      </c>
      <c r="C107" s="364"/>
      <c r="D107" s="364"/>
      <c r="E107" s="365"/>
    </row>
    <row r="108" spans="2:5" ht="12.75">
      <c r="B108" s="140" t="s">
        <v>285</v>
      </c>
      <c r="C108" s="234">
        <v>517899.65</v>
      </c>
      <c r="D108" s="218">
        <v>533464.64</v>
      </c>
      <c r="E108" s="253">
        <f aca="true" t="shared" si="2" ref="E108:E113">D108-C108</f>
        <v>15564.98999999999</v>
      </c>
    </row>
    <row r="109" spans="2:5" ht="12.75">
      <c r="B109" s="115" t="s">
        <v>637</v>
      </c>
      <c r="C109" s="10">
        <v>117890.86</v>
      </c>
      <c r="D109" s="99">
        <v>121418.39</v>
      </c>
      <c r="E109" s="53">
        <f t="shared" si="2"/>
        <v>3527.529999999999</v>
      </c>
    </row>
    <row r="110" spans="2:5" ht="12.75">
      <c r="B110" s="115" t="s">
        <v>292</v>
      </c>
      <c r="C110" s="125">
        <v>139320.36</v>
      </c>
      <c r="D110" s="125">
        <v>141020.36</v>
      </c>
      <c r="E110" s="53">
        <f t="shared" si="2"/>
        <v>1700</v>
      </c>
    </row>
    <row r="111" spans="2:5" ht="12.75">
      <c r="B111" s="115" t="s">
        <v>1200</v>
      </c>
      <c r="C111" s="125">
        <v>32581.53</v>
      </c>
      <c r="D111" s="125">
        <v>32581.53</v>
      </c>
      <c r="E111" s="53">
        <f t="shared" si="2"/>
        <v>0</v>
      </c>
    </row>
    <row r="112" spans="2:5" ht="12.75">
      <c r="B112" s="115" t="s">
        <v>364</v>
      </c>
      <c r="C112" s="125">
        <v>50563.64</v>
      </c>
      <c r="D112" s="125">
        <v>51280.47</v>
      </c>
      <c r="E112" s="53">
        <f t="shared" si="2"/>
        <v>716.8300000000017</v>
      </c>
    </row>
    <row r="113" spans="2:5" ht="13.5" thickBot="1">
      <c r="B113" s="157" t="s">
        <v>232</v>
      </c>
      <c r="C113" s="274">
        <v>125932.11</v>
      </c>
      <c r="D113" s="265">
        <v>125876.69</v>
      </c>
      <c r="E113" s="262">
        <f t="shared" si="2"/>
        <v>-55.419999999998254</v>
      </c>
    </row>
    <row r="114" spans="2:5" ht="13.5" thickBot="1">
      <c r="B114" s="153"/>
      <c r="C114" s="286">
        <f>SUM(C108:C113)</f>
        <v>984188.15</v>
      </c>
      <c r="D114" s="286">
        <f>SUM(D108:D113)</f>
        <v>1005642.0800000001</v>
      </c>
      <c r="E114" s="158">
        <f>SUM(E108:E113)</f>
        <v>21453.929999999993</v>
      </c>
    </row>
    <row r="115" spans="2:5" ht="13.5" thickBot="1">
      <c r="B115" s="363" t="s">
        <v>329</v>
      </c>
      <c r="C115" s="364"/>
      <c r="D115" s="364"/>
      <c r="E115" s="365"/>
    </row>
    <row r="116" spans="2:5" ht="12.75">
      <c r="B116" s="140" t="s">
        <v>285</v>
      </c>
      <c r="C116" s="141">
        <v>258466.93</v>
      </c>
      <c r="D116" s="155">
        <v>233460</v>
      </c>
      <c r="E116" s="242">
        <f aca="true" t="shared" si="3" ref="E116:E121">D116-C116</f>
        <v>-25006.929999999993</v>
      </c>
    </row>
    <row r="117" spans="2:5" ht="12.75">
      <c r="B117" s="115" t="s">
        <v>637</v>
      </c>
      <c r="C117" s="5">
        <v>59285.5</v>
      </c>
      <c r="D117" s="33">
        <v>53121.6</v>
      </c>
      <c r="E117" s="57">
        <f t="shared" si="3"/>
        <v>-6163.9000000000015</v>
      </c>
    </row>
    <row r="118" spans="2:5" ht="12.75">
      <c r="B118" s="278" t="s">
        <v>792</v>
      </c>
      <c r="C118" s="125">
        <v>3900</v>
      </c>
      <c r="D118" s="125">
        <v>4400</v>
      </c>
      <c r="E118" s="128">
        <f t="shared" si="3"/>
        <v>500</v>
      </c>
    </row>
    <row r="119" spans="2:5" ht="12.75">
      <c r="B119" s="116" t="s">
        <v>279</v>
      </c>
      <c r="C119" s="107">
        <v>26130.09</v>
      </c>
      <c r="D119" s="107">
        <v>46050.15</v>
      </c>
      <c r="E119" s="128">
        <f t="shared" si="3"/>
        <v>19920.06</v>
      </c>
    </row>
    <row r="120" spans="2:5" ht="12.75">
      <c r="B120" s="116" t="s">
        <v>816</v>
      </c>
      <c r="C120" s="94">
        <v>46115.64</v>
      </c>
      <c r="D120" s="83">
        <v>50633.39</v>
      </c>
      <c r="E120" s="57">
        <f t="shared" si="3"/>
        <v>4517.75</v>
      </c>
    </row>
    <row r="121" spans="2:5" ht="13.5" thickBot="1">
      <c r="B121" s="156" t="s">
        <v>811</v>
      </c>
      <c r="C121" s="247">
        <v>24320.69</v>
      </c>
      <c r="D121" s="226">
        <v>21366.45</v>
      </c>
      <c r="E121" s="222">
        <f t="shared" si="3"/>
        <v>-2954.239999999998</v>
      </c>
    </row>
    <row r="122" spans="2:5" ht="13.5" thickBot="1">
      <c r="B122" s="153"/>
      <c r="C122" s="286">
        <f>SUM(C116:C121)</f>
        <v>418218.85000000003</v>
      </c>
      <c r="D122" s="286">
        <f>SUM(D116:D121)</f>
        <v>409031.59</v>
      </c>
      <c r="E122" s="158">
        <f>SUM(E116:E121)</f>
        <v>-9187.259999999991</v>
      </c>
    </row>
    <row r="123" spans="2:5" ht="13.5" thickBot="1">
      <c r="B123" s="363" t="s">
        <v>87</v>
      </c>
      <c r="C123" s="364"/>
      <c r="D123" s="364"/>
      <c r="E123" s="365"/>
    </row>
    <row r="124" spans="2:5" ht="12.75">
      <c r="B124" s="140" t="s">
        <v>285</v>
      </c>
      <c r="C124" s="141">
        <v>569529.42</v>
      </c>
      <c r="D124" s="155">
        <f>593274.05+121.73</f>
        <v>593395.78</v>
      </c>
      <c r="E124" s="242">
        <f aca="true" t="shared" si="4" ref="E124:E130">D124-C124</f>
        <v>23866.359999999986</v>
      </c>
    </row>
    <row r="125" spans="2:5" ht="12.75">
      <c r="B125" s="115" t="s">
        <v>637</v>
      </c>
      <c r="C125" s="5">
        <v>129723.03</v>
      </c>
      <c r="D125" s="34">
        <v>135253.98</v>
      </c>
      <c r="E125" s="57">
        <f t="shared" si="4"/>
        <v>5530.950000000012</v>
      </c>
    </row>
    <row r="126" spans="2:5" ht="12.75">
      <c r="B126" s="116" t="s">
        <v>364</v>
      </c>
      <c r="C126" s="65">
        <v>50915.83</v>
      </c>
      <c r="D126" s="70">
        <v>51753.68</v>
      </c>
      <c r="E126" s="57">
        <f t="shared" si="4"/>
        <v>837.8499999999985</v>
      </c>
    </row>
    <row r="127" spans="2:5" ht="12.75">
      <c r="B127" s="116" t="s">
        <v>29</v>
      </c>
      <c r="C127" s="94">
        <f>2400+3600+7320.36+7200+97200+4000</f>
        <v>121720.36</v>
      </c>
      <c r="D127" s="83">
        <f>2400+3600+7320.36+7200+97200+1000</f>
        <v>118720.36</v>
      </c>
      <c r="E127" s="57">
        <f t="shared" si="4"/>
        <v>-3000</v>
      </c>
    </row>
    <row r="128" spans="2:5" ht="12.75">
      <c r="B128" s="269" t="s">
        <v>415</v>
      </c>
      <c r="C128" s="122">
        <v>38729.34</v>
      </c>
      <c r="D128" s="122">
        <v>42800</v>
      </c>
      <c r="E128" s="57">
        <f t="shared" si="4"/>
        <v>4070.6600000000035</v>
      </c>
    </row>
    <row r="129" spans="2:5" ht="12.75">
      <c r="B129" s="269" t="s">
        <v>372</v>
      </c>
      <c r="C129" s="122">
        <v>1000</v>
      </c>
      <c r="D129" s="122">
        <v>1000</v>
      </c>
      <c r="E129" s="66">
        <f t="shared" si="4"/>
        <v>0</v>
      </c>
    </row>
    <row r="130" spans="2:5" ht="13.5" thickBot="1">
      <c r="B130" s="157" t="s">
        <v>805</v>
      </c>
      <c r="C130" s="225">
        <f>66963.6+62751.85</f>
        <v>129715.45000000001</v>
      </c>
      <c r="D130" s="226">
        <f>66963.6+58004.27</f>
        <v>124967.87</v>
      </c>
      <c r="E130" s="222">
        <f t="shared" si="4"/>
        <v>-4747.580000000016</v>
      </c>
    </row>
    <row r="131" spans="2:5" ht="13.5" thickBot="1">
      <c r="B131" s="153"/>
      <c r="C131" s="152">
        <f>SUM(C124:C130)</f>
        <v>1041333.4299999999</v>
      </c>
      <c r="D131" s="138">
        <f>SUM(D124:D130)</f>
        <v>1067891.67</v>
      </c>
      <c r="E131" s="139">
        <f>SUM(E124:E130)</f>
        <v>26558.239999999983</v>
      </c>
    </row>
    <row r="132" spans="2:5" ht="13.5" thickBot="1">
      <c r="B132" s="366" t="s">
        <v>379</v>
      </c>
      <c r="C132" s="367"/>
      <c r="D132" s="367"/>
      <c r="E132" s="368"/>
    </row>
    <row r="133" spans="2:5" ht="13.5" thickBot="1">
      <c r="B133" s="153"/>
      <c r="C133" s="175">
        <f>C99+C106+C114+C122+C131</f>
        <v>4214511.99</v>
      </c>
      <c r="D133" s="175">
        <f>D99+D106+D114+D122+D131</f>
        <v>4443172.15</v>
      </c>
      <c r="E133" s="175">
        <f>E99+E106+E114+E122+E131</f>
        <v>228660.16</v>
      </c>
    </row>
  </sheetData>
  <sheetProtection/>
  <mergeCells count="23">
    <mergeCell ref="A6:E6"/>
    <mergeCell ref="A20:D20"/>
    <mergeCell ref="A21:D21"/>
    <mergeCell ref="D25:E25"/>
    <mergeCell ref="A2:B2"/>
    <mergeCell ref="C2:E2"/>
    <mergeCell ref="C3:E3"/>
    <mergeCell ref="B4:E4"/>
    <mergeCell ref="D85:E85"/>
    <mergeCell ref="D86:E86"/>
    <mergeCell ref="D87:E87"/>
    <mergeCell ref="D88:E88"/>
    <mergeCell ref="D81:E81"/>
    <mergeCell ref="D82:E82"/>
    <mergeCell ref="D83:E83"/>
    <mergeCell ref="D84:E84"/>
    <mergeCell ref="B115:E115"/>
    <mergeCell ref="B132:E132"/>
    <mergeCell ref="B123:E123"/>
    <mergeCell ref="D89:E89"/>
    <mergeCell ref="B92:E92"/>
    <mergeCell ref="B100:E100"/>
    <mergeCell ref="B107:E107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5390625" style="0" customWidth="1"/>
    <col min="2" max="2" width="55.75390625" style="0" customWidth="1"/>
    <col min="3" max="3" width="10.625" style="0" customWidth="1"/>
    <col min="4" max="4" width="13.125" style="0" customWidth="1"/>
    <col min="5" max="5" width="12.00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6.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910</v>
      </c>
      <c r="C7" s="26"/>
      <c r="D7" s="24"/>
    </row>
    <row r="8" spans="1:4" ht="15">
      <c r="A8" s="26"/>
      <c r="B8" s="27" t="s">
        <v>115</v>
      </c>
      <c r="C8" s="38">
        <v>1261.2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170180.96</v>
      </c>
      <c r="D11" s="218">
        <v>187141.15</v>
      </c>
      <c r="E11" s="242">
        <f aca="true" t="shared" si="0" ref="E11:E17">D11-C11</f>
        <v>16960.190000000002</v>
      </c>
    </row>
    <row r="12" spans="1:5" ht="12.75">
      <c r="A12" s="84">
        <v>2</v>
      </c>
      <c r="B12" s="5" t="s">
        <v>637</v>
      </c>
      <c r="C12" s="10">
        <v>64291.14</v>
      </c>
      <c r="D12" s="98">
        <v>72494.64</v>
      </c>
      <c r="E12" s="57">
        <f t="shared" si="0"/>
        <v>8203.5</v>
      </c>
    </row>
    <row r="13" spans="1:5" ht="12.75">
      <c r="A13" s="84">
        <v>3</v>
      </c>
      <c r="B13" s="5" t="s">
        <v>364</v>
      </c>
      <c r="C13" s="10">
        <v>23497.83</v>
      </c>
      <c r="D13" s="98">
        <v>17031.46</v>
      </c>
      <c r="E13" s="57">
        <f t="shared" si="0"/>
        <v>-6466.370000000003</v>
      </c>
    </row>
    <row r="14" spans="1:5" ht="12.75">
      <c r="A14" s="84">
        <v>4</v>
      </c>
      <c r="B14" s="5" t="s">
        <v>633</v>
      </c>
      <c r="C14" s="10">
        <v>21839.45</v>
      </c>
      <c r="D14" s="98">
        <v>24141.66</v>
      </c>
      <c r="E14" s="57">
        <f t="shared" si="0"/>
        <v>2302.209999999999</v>
      </c>
    </row>
    <row r="15" spans="1:5" ht="12.75">
      <c r="A15" s="84">
        <v>5</v>
      </c>
      <c r="B15" s="105" t="s">
        <v>1087</v>
      </c>
      <c r="C15" s="10">
        <v>14504.61</v>
      </c>
      <c r="D15" s="98">
        <v>16422.32</v>
      </c>
      <c r="E15" s="57">
        <f t="shared" si="0"/>
        <v>1917.7099999999991</v>
      </c>
    </row>
    <row r="16" spans="1:5" ht="12.75">
      <c r="A16" s="84">
        <v>6</v>
      </c>
      <c r="B16" s="5" t="s">
        <v>1019</v>
      </c>
      <c r="C16" s="10">
        <v>4354.63</v>
      </c>
      <c r="D16" s="98">
        <v>4354.63</v>
      </c>
      <c r="E16" s="57">
        <f t="shared" si="0"/>
        <v>0</v>
      </c>
    </row>
    <row r="17" spans="1:5" ht="12.75">
      <c r="A17" s="84">
        <v>7</v>
      </c>
      <c r="B17" s="5" t="s">
        <v>29</v>
      </c>
      <c r="C17" s="10">
        <f>3600</f>
        <v>3600</v>
      </c>
      <c r="D17" s="98">
        <f>3600</f>
        <v>3600</v>
      </c>
      <c r="E17" s="57">
        <f t="shared" si="0"/>
        <v>0</v>
      </c>
    </row>
    <row r="18" spans="1:5" ht="13.5" thickBot="1">
      <c r="A18" s="250"/>
      <c r="B18" s="251"/>
      <c r="C18" s="118">
        <f>SUM(C11:C17)</f>
        <v>302268.62</v>
      </c>
      <c r="D18" s="118">
        <f>SUM(D11:D17)</f>
        <v>325185.86</v>
      </c>
      <c r="E18" s="137">
        <f>SUM(E11:E17)</f>
        <v>22917.239999999998</v>
      </c>
    </row>
    <row r="19" spans="1:5" ht="12.75">
      <c r="A19" s="385" t="s">
        <v>793</v>
      </c>
      <c r="B19" s="386"/>
      <c r="C19" s="386"/>
      <c r="D19" s="386"/>
      <c r="E19" s="108">
        <f>E120</f>
        <v>63523.43</v>
      </c>
    </row>
    <row r="20" spans="1:5" ht="12.75">
      <c r="A20" s="387" t="s">
        <v>794</v>
      </c>
      <c r="B20" s="384"/>
      <c r="C20" s="384"/>
      <c r="D20" s="384"/>
      <c r="E20" s="22">
        <v>176789.89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12.75">
      <c r="A23" s="86">
        <v>1</v>
      </c>
      <c r="B23" s="64" t="s">
        <v>446</v>
      </c>
      <c r="C23" s="80">
        <f>C60</f>
        <v>121432.65</v>
      </c>
      <c r="E23" s="29"/>
    </row>
    <row r="24" spans="1:5" ht="12.75">
      <c r="A24" s="91">
        <v>2</v>
      </c>
      <c r="B24" s="25" t="s">
        <v>344</v>
      </c>
      <c r="C24" s="102">
        <f>C65</f>
        <v>8140.48</v>
      </c>
      <c r="D24" s="388"/>
      <c r="E24" s="389"/>
    </row>
    <row r="25" spans="1:5" ht="12.75">
      <c r="A25" s="84">
        <v>3</v>
      </c>
      <c r="B25" s="9" t="s">
        <v>649</v>
      </c>
      <c r="C25" s="48">
        <v>1432.79</v>
      </c>
      <c r="E25" s="29"/>
    </row>
    <row r="26" spans="1:5" ht="12.75">
      <c r="A26" s="84">
        <v>4</v>
      </c>
      <c r="B26" s="9" t="s">
        <v>122</v>
      </c>
      <c r="C26" s="48">
        <f>(C8*0.55*12)</f>
        <v>8323.920000000002</v>
      </c>
      <c r="E26" s="29"/>
    </row>
    <row r="27" spans="1:5" ht="12.75">
      <c r="A27" s="84">
        <v>5</v>
      </c>
      <c r="B27" s="9" t="s">
        <v>658</v>
      </c>
      <c r="C27" s="79">
        <v>17706</v>
      </c>
      <c r="E27" s="29"/>
    </row>
    <row r="28" spans="1:5" ht="12.75">
      <c r="A28" s="91">
        <v>6</v>
      </c>
      <c r="B28" s="25" t="s">
        <v>61</v>
      </c>
      <c r="C28" s="203">
        <v>2400</v>
      </c>
      <c r="E28" s="29"/>
    </row>
    <row r="29" spans="1:5" ht="12.75">
      <c r="A29" s="91">
        <v>7</v>
      </c>
      <c r="B29" s="25" t="s">
        <v>909</v>
      </c>
      <c r="C29" s="96">
        <v>16878.42</v>
      </c>
      <c r="E29" s="29"/>
    </row>
    <row r="30" spans="1:5" ht="12.75">
      <c r="A30" s="91">
        <v>8</v>
      </c>
      <c r="B30" s="346" t="s">
        <v>26</v>
      </c>
      <c r="C30" s="96">
        <v>691.8</v>
      </c>
      <c r="E30" s="29"/>
    </row>
    <row r="31" spans="1:5" ht="25.5">
      <c r="A31" s="91">
        <v>9</v>
      </c>
      <c r="B31" s="25" t="s">
        <v>60</v>
      </c>
      <c r="C31" s="96">
        <v>10700</v>
      </c>
      <c r="E31" s="29"/>
    </row>
    <row r="32" spans="1:3" ht="12.75">
      <c r="A32" s="50"/>
      <c r="B32" s="20" t="s">
        <v>629</v>
      </c>
      <c r="C32" s="51">
        <f>SUM(C23:C31)</f>
        <v>187706.06</v>
      </c>
    </row>
    <row r="33" spans="1:3" ht="12.75">
      <c r="A33" s="49"/>
      <c r="B33" s="8" t="s">
        <v>965</v>
      </c>
      <c r="C33" s="45"/>
    </row>
    <row r="34" spans="1:3" ht="12.75">
      <c r="A34" s="84">
        <v>1</v>
      </c>
      <c r="B34" s="9" t="s">
        <v>228</v>
      </c>
      <c r="C34" s="48">
        <f>(C18)*15%</f>
        <v>45340.293</v>
      </c>
    </row>
    <row r="35" spans="1:3" ht="12.75">
      <c r="A35" s="84">
        <v>2</v>
      </c>
      <c r="B35" s="9" t="s">
        <v>813</v>
      </c>
      <c r="C35" s="48">
        <f>C71</f>
        <v>2731.5773405254026</v>
      </c>
    </row>
    <row r="36" spans="1:3" ht="12.75">
      <c r="A36" s="84">
        <v>3</v>
      </c>
      <c r="B36" s="9" t="s">
        <v>653</v>
      </c>
      <c r="C36" s="48">
        <f>C72</f>
        <v>2966.8977401269253</v>
      </c>
    </row>
    <row r="37" spans="1:3" ht="12.75">
      <c r="A37" s="84">
        <v>4</v>
      </c>
      <c r="B37" s="9" t="s">
        <v>1114</v>
      </c>
      <c r="C37" s="52">
        <f>C73</f>
        <v>6022.92103605631</v>
      </c>
    </row>
    <row r="38" spans="1:3" ht="12.75">
      <c r="A38" s="84">
        <v>5</v>
      </c>
      <c r="B38" s="9" t="s">
        <v>162</v>
      </c>
      <c r="C38" s="52">
        <f>C74</f>
        <v>4400.868483456469</v>
      </c>
    </row>
    <row r="39" spans="1:3" ht="12.75">
      <c r="A39" s="84">
        <v>6</v>
      </c>
      <c r="B39" s="9" t="s">
        <v>1051</v>
      </c>
      <c r="C39" s="48">
        <f>C75+C77+C78+C79+C76</f>
        <v>7468.255211402795</v>
      </c>
    </row>
    <row r="40" spans="1:3" ht="12.75">
      <c r="A40" s="49"/>
      <c r="B40" s="74" t="s">
        <v>809</v>
      </c>
      <c r="C40" s="53"/>
    </row>
    <row r="41" spans="1:3" ht="12.75">
      <c r="A41" s="49"/>
      <c r="B41" s="5" t="s">
        <v>655</v>
      </c>
      <c r="C41" s="53"/>
    </row>
    <row r="42" spans="1:3" ht="12.75">
      <c r="A42" s="49"/>
      <c r="B42" s="74" t="s">
        <v>656</v>
      </c>
      <c r="C42" s="53"/>
    </row>
    <row r="43" spans="1:3" ht="12.75">
      <c r="A43" s="49"/>
      <c r="B43" s="74" t="s">
        <v>808</v>
      </c>
      <c r="C43" s="53"/>
    </row>
    <row r="44" spans="1:3" ht="12.75">
      <c r="A44" s="50"/>
      <c r="B44" s="20" t="s">
        <v>629</v>
      </c>
      <c r="C44" s="51">
        <f>C34+C35+C36+C37+C38+C39</f>
        <v>68930.8128115679</v>
      </c>
    </row>
    <row r="45" spans="1:3" ht="12.75">
      <c r="A45" s="49"/>
      <c r="B45" s="7" t="s">
        <v>966</v>
      </c>
      <c r="C45" s="45"/>
    </row>
    <row r="46" spans="1:3" ht="12.75">
      <c r="A46" s="84">
        <v>1</v>
      </c>
      <c r="B46" s="9" t="s">
        <v>631</v>
      </c>
      <c r="C46" s="48">
        <f>C18*2%</f>
        <v>6045.3724</v>
      </c>
    </row>
    <row r="47" spans="1:3" ht="12.75">
      <c r="A47" s="84">
        <v>2</v>
      </c>
      <c r="B47" s="9" t="s">
        <v>391</v>
      </c>
      <c r="C47" s="48">
        <f>C48</f>
        <v>17773.394856</v>
      </c>
    </row>
    <row r="48" spans="1:4" ht="12.75">
      <c r="A48" s="49"/>
      <c r="B48" s="5" t="s">
        <v>334</v>
      </c>
      <c r="C48" s="41">
        <f>(C18-C46)*6%</f>
        <v>17773.394856</v>
      </c>
      <c r="D48" s="19"/>
    </row>
    <row r="49" spans="1:3" ht="13.5" thickBot="1">
      <c r="A49" s="54"/>
      <c r="B49" s="55" t="s">
        <v>967</v>
      </c>
      <c r="C49" s="56">
        <f>C46+C47</f>
        <v>23818.767256</v>
      </c>
    </row>
    <row r="50" spans="1:3" ht="12.75">
      <c r="A50" s="23"/>
      <c r="B50" s="4" t="s">
        <v>288</v>
      </c>
      <c r="C50" s="11">
        <f>C32+C44+C49</f>
        <v>280455.64006756793</v>
      </c>
    </row>
    <row r="51" spans="1:3" ht="12.75">
      <c r="A51" s="23"/>
      <c r="B51" s="77"/>
      <c r="C51" s="1"/>
    </row>
    <row r="52" spans="1:3" ht="15">
      <c r="A52" s="23"/>
      <c r="B52" s="14" t="s">
        <v>812</v>
      </c>
      <c r="C52" s="11">
        <v>142823.1</v>
      </c>
    </row>
    <row r="53" spans="1:3" ht="15">
      <c r="A53" s="23"/>
      <c r="B53" s="14" t="s">
        <v>12</v>
      </c>
      <c r="C53" s="1">
        <v>39326.65</v>
      </c>
    </row>
    <row r="54" spans="1:3" ht="15">
      <c r="A54" s="23"/>
      <c r="B54" s="14" t="s">
        <v>180</v>
      </c>
      <c r="C54" s="11">
        <f>C50+C52-C53-C18</f>
        <v>81683.47006756789</v>
      </c>
    </row>
    <row r="55" ht="12.75">
      <c r="B55" s="1" t="s">
        <v>85</v>
      </c>
    </row>
    <row r="56" ht="15.75" customHeight="1">
      <c r="B56" s="1" t="s">
        <v>1197</v>
      </c>
    </row>
    <row r="57" spans="1:4" ht="12.75">
      <c r="A57" s="2"/>
      <c r="B57" s="2"/>
      <c r="C57" s="2" t="s">
        <v>790</v>
      </c>
      <c r="D57" s="2"/>
    </row>
    <row r="58" spans="1:4" ht="12.75">
      <c r="A58" s="2"/>
      <c r="B58" s="2"/>
      <c r="C58" s="2" t="s">
        <v>274</v>
      </c>
      <c r="D58" s="2"/>
    </row>
    <row r="59" spans="1:5" ht="13.5" thickBot="1">
      <c r="A59" s="37"/>
      <c r="B59" s="37" t="s">
        <v>969</v>
      </c>
      <c r="C59" s="32" t="s">
        <v>886</v>
      </c>
      <c r="D59" s="114">
        <f>C8</f>
        <v>1261.2</v>
      </c>
      <c r="E59" t="s">
        <v>116</v>
      </c>
    </row>
    <row r="60" spans="1:5" ht="12.75">
      <c r="A60" s="60" t="s">
        <v>218</v>
      </c>
      <c r="B60" s="39" t="s">
        <v>287</v>
      </c>
      <c r="C60" s="47">
        <v>121432.65</v>
      </c>
      <c r="D60" s="15"/>
      <c r="E60" s="21"/>
    </row>
    <row r="61" spans="1:5" ht="12.75">
      <c r="A61" s="61"/>
      <c r="B61" s="6" t="s">
        <v>118</v>
      </c>
      <c r="C61" s="41"/>
      <c r="D61" s="15"/>
      <c r="E61" s="21"/>
    </row>
    <row r="62" spans="1:5" ht="12.75">
      <c r="A62" s="62" t="s">
        <v>166</v>
      </c>
      <c r="B62" s="6" t="s">
        <v>380</v>
      </c>
      <c r="C62" s="41">
        <v>11659.9</v>
      </c>
      <c r="D62" s="15"/>
      <c r="E62" s="15"/>
    </row>
    <row r="63" spans="1:5" ht="12.75">
      <c r="A63" s="62" t="s">
        <v>166</v>
      </c>
      <c r="B63" s="6" t="s">
        <v>1144</v>
      </c>
      <c r="C63" s="41">
        <v>25845.04</v>
      </c>
      <c r="D63" s="15"/>
      <c r="E63" s="15"/>
    </row>
    <row r="64" spans="1:5" ht="13.5" thickBot="1">
      <c r="A64" s="63" t="s">
        <v>166</v>
      </c>
      <c r="B64" s="42" t="s">
        <v>818</v>
      </c>
      <c r="C64" s="46">
        <v>85.95</v>
      </c>
      <c r="D64" s="15"/>
      <c r="E64" s="15"/>
    </row>
    <row r="65" spans="1:5" ht="12.75">
      <c r="A65" s="60" t="s">
        <v>328</v>
      </c>
      <c r="B65" s="39" t="s">
        <v>343</v>
      </c>
      <c r="C65" s="47">
        <v>8140.48</v>
      </c>
      <c r="D65" s="15"/>
      <c r="E65" s="12"/>
    </row>
    <row r="66" spans="1:5" ht="12.75">
      <c r="A66" s="61"/>
      <c r="B66" s="6" t="s">
        <v>118</v>
      </c>
      <c r="C66" s="41"/>
      <c r="D66" s="15"/>
      <c r="E66" s="12"/>
    </row>
    <row r="67" spans="1:5" ht="12.75">
      <c r="A67" s="62" t="s">
        <v>166</v>
      </c>
      <c r="B67" s="6" t="s">
        <v>380</v>
      </c>
      <c r="C67" s="41">
        <v>384</v>
      </c>
      <c r="D67" s="15"/>
      <c r="E67" s="12"/>
    </row>
    <row r="68" spans="1:5" ht="13.5" thickBot="1">
      <c r="A68" s="63" t="s">
        <v>166</v>
      </c>
      <c r="B68" s="42" t="s">
        <v>818</v>
      </c>
      <c r="C68" s="46">
        <v>72.12</v>
      </c>
      <c r="D68" s="15"/>
      <c r="E68" s="15"/>
    </row>
    <row r="69" spans="1:5" ht="12.75">
      <c r="A69" s="300" t="s">
        <v>787</v>
      </c>
      <c r="B69" s="97" t="s">
        <v>1050</v>
      </c>
      <c r="C69" s="82">
        <f>C70+C71+C73+C72+C74+C75+C77+C78+C79+C76</f>
        <v>68930.81281156788</v>
      </c>
      <c r="D69" s="15"/>
      <c r="E69" s="12"/>
    </row>
    <row r="70" spans="1:5" ht="13.5" thickBot="1">
      <c r="A70" s="40" t="s">
        <v>166</v>
      </c>
      <c r="B70" s="6" t="s">
        <v>227</v>
      </c>
      <c r="C70" s="41">
        <f>C34</f>
        <v>45340.293</v>
      </c>
      <c r="D70" s="15"/>
      <c r="E70" s="12"/>
    </row>
    <row r="71" spans="1:5" ht="12.75">
      <c r="A71" s="40" t="s">
        <v>166</v>
      </c>
      <c r="B71" s="6" t="s">
        <v>370</v>
      </c>
      <c r="C71" s="317">
        <f>401410.25/185335.63*C8</f>
        <v>2731.5773405254026</v>
      </c>
      <c r="D71" s="375" t="s">
        <v>906</v>
      </c>
      <c r="E71" s="376"/>
    </row>
    <row r="72" spans="1:5" ht="12.75">
      <c r="A72" s="73" t="s">
        <v>166</v>
      </c>
      <c r="B72" s="74" t="s">
        <v>397</v>
      </c>
      <c r="C72" s="317">
        <f>435991.01/185335.63*C8</f>
        <v>2966.8977401269253</v>
      </c>
      <c r="D72" s="377" t="s">
        <v>907</v>
      </c>
      <c r="E72" s="378"/>
    </row>
    <row r="73" spans="1:5" ht="12.75">
      <c r="A73" s="71" t="s">
        <v>166</v>
      </c>
      <c r="B73" s="72" t="s">
        <v>416</v>
      </c>
      <c r="C73" s="317">
        <f>1082167/226605.83*C8</f>
        <v>6022.92103605631</v>
      </c>
      <c r="D73" s="379" t="s">
        <v>908</v>
      </c>
      <c r="E73" s="380"/>
    </row>
    <row r="74" spans="1:5" ht="25.5">
      <c r="A74" s="73" t="s">
        <v>166</v>
      </c>
      <c r="B74" s="72" t="s">
        <v>231</v>
      </c>
      <c r="C74" s="318">
        <f>845684.35/242356.05*D59</f>
        <v>4400.868483456469</v>
      </c>
      <c r="D74" s="381" t="s">
        <v>1067</v>
      </c>
      <c r="E74" s="382"/>
    </row>
    <row r="75" spans="1:5" ht="12.75">
      <c r="A75" s="73" t="s">
        <v>166</v>
      </c>
      <c r="B75" s="74" t="s">
        <v>808</v>
      </c>
      <c r="C75" s="318">
        <f>642562.44/242356.05*D59</f>
        <v>3343.8395671492417</v>
      </c>
      <c r="D75" s="371" t="s">
        <v>1068</v>
      </c>
      <c r="E75" s="372"/>
    </row>
    <row r="76" spans="1:5" ht="12.75">
      <c r="A76" s="73" t="s">
        <v>166</v>
      </c>
      <c r="B76" s="74" t="s">
        <v>826</v>
      </c>
      <c r="C76" s="318">
        <f>51615/196822.43*D59</f>
        <v>330.73892035577455</v>
      </c>
      <c r="D76" s="371" t="s">
        <v>1069</v>
      </c>
      <c r="E76" s="372"/>
    </row>
    <row r="77" spans="1:5" ht="12.75">
      <c r="A77" s="73" t="s">
        <v>166</v>
      </c>
      <c r="B77" s="74" t="s">
        <v>655</v>
      </c>
      <c r="C77" s="318">
        <f>129011.28/196822.43*D59</f>
        <v>826.6792882091742</v>
      </c>
      <c r="D77" s="371" t="s">
        <v>1070</v>
      </c>
      <c r="E77" s="372"/>
    </row>
    <row r="78" spans="1:5" ht="12.75">
      <c r="A78" s="73" t="s">
        <v>166</v>
      </c>
      <c r="B78" s="74" t="s">
        <v>656</v>
      </c>
      <c r="C78" s="318">
        <f>164128/196822.43*D59</f>
        <v>1051.7004266231243</v>
      </c>
      <c r="D78" s="373" t="s">
        <v>1071</v>
      </c>
      <c r="E78" s="374"/>
    </row>
    <row r="79" spans="1:5" ht="13.5" thickBot="1">
      <c r="A79" s="75" t="s">
        <v>166</v>
      </c>
      <c r="B79" s="76" t="s">
        <v>809</v>
      </c>
      <c r="C79" s="319">
        <f>298900.58/196822.43*D59</f>
        <v>1915.297009065481</v>
      </c>
      <c r="D79" s="369" t="s">
        <v>1072</v>
      </c>
      <c r="E79" s="370"/>
    </row>
    <row r="80" ht="13.5" thickBot="1"/>
    <row r="81" spans="2:5" ht="24.75" thickBot="1">
      <c r="B81" s="143"/>
      <c r="C81" s="159" t="s">
        <v>104</v>
      </c>
      <c r="D81" s="161" t="s">
        <v>306</v>
      </c>
      <c r="E81" s="160" t="s">
        <v>1115</v>
      </c>
    </row>
    <row r="82" spans="2:5" ht="13.5" thickBot="1">
      <c r="B82" s="363" t="s">
        <v>1196</v>
      </c>
      <c r="C82" s="364"/>
      <c r="D82" s="364"/>
      <c r="E82" s="368"/>
    </row>
    <row r="83" spans="2:5" ht="12.75">
      <c r="B83" s="140" t="s">
        <v>285</v>
      </c>
      <c r="C83" s="162">
        <v>80542.18</v>
      </c>
      <c r="D83" s="163">
        <v>88283.56</v>
      </c>
      <c r="E83" s="164">
        <f>D83-C83</f>
        <v>7741.380000000005</v>
      </c>
    </row>
    <row r="84" spans="2:5" ht="12.75">
      <c r="B84" s="132" t="s">
        <v>633</v>
      </c>
      <c r="C84" s="290">
        <v>11124.26</v>
      </c>
      <c r="D84" s="291">
        <v>11337.7</v>
      </c>
      <c r="E84" s="164">
        <f>D84-C84</f>
        <v>213.4400000000005</v>
      </c>
    </row>
    <row r="85" spans="2:5" ht="13.5" thickBot="1">
      <c r="B85" s="115" t="s">
        <v>637</v>
      </c>
      <c r="C85" s="36">
        <v>47071.58</v>
      </c>
      <c r="D85" s="165">
        <v>51095.7</v>
      </c>
      <c r="E85" s="166">
        <f>D85-C85</f>
        <v>4024.1199999999953</v>
      </c>
    </row>
    <row r="86" spans="2:5" ht="13.5" thickBot="1">
      <c r="B86" s="143"/>
      <c r="C86" s="167">
        <f>SUM(C83:C85)</f>
        <v>138738.02</v>
      </c>
      <c r="D86" s="168">
        <f>SUM(D83:D85)</f>
        <v>150716.96</v>
      </c>
      <c r="E86" s="169">
        <f>D86-C86</f>
        <v>11978.940000000002</v>
      </c>
    </row>
    <row r="87" spans="2:5" ht="13.5" thickBot="1">
      <c r="B87" s="363" t="s">
        <v>804</v>
      </c>
      <c r="C87" s="364"/>
      <c r="D87" s="364"/>
      <c r="E87" s="365"/>
    </row>
    <row r="88" spans="2:5" ht="12.75">
      <c r="B88" s="140" t="s">
        <v>285</v>
      </c>
      <c r="C88" s="212">
        <v>113322.34</v>
      </c>
      <c r="D88" s="223">
        <v>117277.32</v>
      </c>
      <c r="E88" s="213">
        <f>D88-C88</f>
        <v>3954.9800000000105</v>
      </c>
    </row>
    <row r="89" spans="2:5" ht="12.75">
      <c r="B89" s="115" t="s">
        <v>637</v>
      </c>
      <c r="C89" s="18">
        <v>57540.9</v>
      </c>
      <c r="D89" s="18">
        <v>59092.31</v>
      </c>
      <c r="E89" s="214">
        <f>D89-C89</f>
        <v>1551.4099999999962</v>
      </c>
    </row>
    <row r="90" spans="2:5" ht="12.75">
      <c r="B90" s="115" t="s">
        <v>408</v>
      </c>
      <c r="C90" s="18">
        <v>17907.38</v>
      </c>
      <c r="D90" s="28">
        <v>18811</v>
      </c>
      <c r="E90" s="214">
        <f>D90-C90</f>
        <v>903.619999999999</v>
      </c>
    </row>
    <row r="91" spans="2:5" ht="26.25" thickBot="1">
      <c r="B91" s="156" t="s">
        <v>939</v>
      </c>
      <c r="C91" s="224">
        <v>2500</v>
      </c>
      <c r="D91" s="224">
        <v>2500</v>
      </c>
      <c r="E91" s="228">
        <f>D91-C91</f>
        <v>0</v>
      </c>
    </row>
    <row r="92" spans="2:5" ht="13.5" thickBot="1">
      <c r="B92" s="187"/>
      <c r="C92" s="188">
        <f>SUM(C88:C91)</f>
        <v>191270.62</v>
      </c>
      <c r="D92" s="174">
        <f>SUM(D88:D91)</f>
        <v>197680.63</v>
      </c>
      <c r="E92" s="174">
        <f>SUM(E88:E91)</f>
        <v>6410.010000000006</v>
      </c>
    </row>
    <row r="93" spans="2:5" ht="13.5" thickBot="1">
      <c r="B93" s="363" t="s">
        <v>382</v>
      </c>
      <c r="C93" s="364"/>
      <c r="D93" s="364"/>
      <c r="E93" s="365"/>
    </row>
    <row r="94" spans="2:5" ht="12.75">
      <c r="B94" s="140" t="s">
        <v>285</v>
      </c>
      <c r="C94" s="212">
        <v>128555.43</v>
      </c>
      <c r="D94" s="285">
        <v>131672.76</v>
      </c>
      <c r="E94" s="242">
        <f>D94-C94</f>
        <v>3117.3300000000163</v>
      </c>
    </row>
    <row r="95" spans="2:5" ht="12.75">
      <c r="B95" s="115" t="s">
        <v>637</v>
      </c>
      <c r="C95" s="18">
        <v>62508.52</v>
      </c>
      <c r="D95" s="36">
        <v>64020.2</v>
      </c>
      <c r="E95" s="57">
        <f>D95-C95</f>
        <v>1511.6800000000003</v>
      </c>
    </row>
    <row r="96" spans="2:5" ht="13.5" thickBot="1">
      <c r="B96" s="156" t="s">
        <v>408</v>
      </c>
      <c r="C96" s="267">
        <v>22101.16</v>
      </c>
      <c r="D96" s="287">
        <v>23181.42</v>
      </c>
      <c r="E96" s="57">
        <f>D96-C96</f>
        <v>1080.2599999999984</v>
      </c>
    </row>
    <row r="97" spans="2:5" ht="13.5" thickBot="1">
      <c r="B97" s="143"/>
      <c r="C97" s="174">
        <f>SUM(C94:C96)</f>
        <v>213165.11</v>
      </c>
      <c r="D97" s="174">
        <f>SUM(D94:D96)</f>
        <v>218874.38</v>
      </c>
      <c r="E97" s="174">
        <f>SUM(E94:E96)</f>
        <v>5709.270000000015</v>
      </c>
    </row>
    <row r="98" spans="2:5" ht="13.5" thickBot="1">
      <c r="B98" s="363" t="s">
        <v>1058</v>
      </c>
      <c r="C98" s="364"/>
      <c r="D98" s="364"/>
      <c r="E98" s="365"/>
    </row>
    <row r="99" spans="2:5" ht="12.75">
      <c r="B99" s="140" t="s">
        <v>285</v>
      </c>
      <c r="C99" s="212">
        <v>145491.32</v>
      </c>
      <c r="D99" s="285">
        <v>160501.58</v>
      </c>
      <c r="E99" s="242">
        <f>D99-C99</f>
        <v>15010.25999999998</v>
      </c>
    </row>
    <row r="100" spans="2:5" ht="12.75">
      <c r="B100" s="115" t="s">
        <v>637</v>
      </c>
      <c r="C100" s="18">
        <v>60414.1</v>
      </c>
      <c r="D100" s="36">
        <v>64019.02</v>
      </c>
      <c r="E100" s="57">
        <f>D100-C100</f>
        <v>3604.9199999999983</v>
      </c>
    </row>
    <row r="101" spans="2:5" ht="12.75">
      <c r="B101" s="115" t="s">
        <v>633</v>
      </c>
      <c r="C101" s="18">
        <v>21423.27</v>
      </c>
      <c r="D101" s="88">
        <v>22701.6</v>
      </c>
      <c r="E101" s="57">
        <f>D101-C101</f>
        <v>1278.329999999998</v>
      </c>
    </row>
    <row r="102" spans="2:5" ht="13.5" thickBot="1">
      <c r="B102" s="157" t="s">
        <v>364</v>
      </c>
      <c r="C102" s="263">
        <v>3488.64</v>
      </c>
      <c r="D102" s="284">
        <v>9908.03</v>
      </c>
      <c r="E102" s="57">
        <f>D102-C102</f>
        <v>6419.390000000001</v>
      </c>
    </row>
    <row r="103" spans="2:5" ht="13.5" thickBot="1">
      <c r="B103" s="143"/>
      <c r="C103" s="174">
        <f>SUM(C99:C102)</f>
        <v>230817.33000000002</v>
      </c>
      <c r="D103" s="174">
        <f>SUM(D99:D102)</f>
        <v>257130.22999999998</v>
      </c>
      <c r="E103" s="174">
        <f>SUM(E99:E102)</f>
        <v>26312.89999999998</v>
      </c>
    </row>
    <row r="104" spans="2:5" ht="13.5" thickBot="1">
      <c r="B104" s="363" t="s">
        <v>823</v>
      </c>
      <c r="C104" s="364"/>
      <c r="D104" s="364"/>
      <c r="E104" s="365"/>
    </row>
    <row r="105" spans="2:5" ht="12.75">
      <c r="B105" s="140" t="s">
        <v>285</v>
      </c>
      <c r="C105" s="141">
        <v>87390.62</v>
      </c>
      <c r="D105" s="155">
        <v>76909.92</v>
      </c>
      <c r="E105" s="242">
        <f>D105-C105</f>
        <v>-10480.699999999997</v>
      </c>
    </row>
    <row r="106" spans="2:5" ht="12.75">
      <c r="B106" s="115" t="s">
        <v>637</v>
      </c>
      <c r="C106" s="5">
        <v>40296.89</v>
      </c>
      <c r="D106" s="33">
        <v>37398.42</v>
      </c>
      <c r="E106" s="57">
        <f>D106-C106</f>
        <v>-2898.470000000001</v>
      </c>
    </row>
    <row r="107" spans="2:5" ht="12.75">
      <c r="B107" s="115" t="s">
        <v>633</v>
      </c>
      <c r="C107" s="65">
        <v>12073.21</v>
      </c>
      <c r="D107" s="70">
        <v>11350.8</v>
      </c>
      <c r="E107" s="57">
        <f>D107-C107</f>
        <v>-722.4099999999999</v>
      </c>
    </row>
    <row r="108" spans="2:5" ht="13.5" thickBot="1">
      <c r="B108" s="157" t="s">
        <v>364</v>
      </c>
      <c r="C108" s="247">
        <v>5132.4</v>
      </c>
      <c r="D108" s="226">
        <v>9429.05</v>
      </c>
      <c r="E108" s="222">
        <f>D108-C108</f>
        <v>4296.65</v>
      </c>
    </row>
    <row r="109" spans="2:5" ht="13.5" thickBot="1">
      <c r="B109" s="177"/>
      <c r="C109" s="217">
        <f>SUM(C105:C108)</f>
        <v>144893.12</v>
      </c>
      <c r="D109" s="217">
        <f>SUM(D105:D108)</f>
        <v>135088.19</v>
      </c>
      <c r="E109" s="217">
        <f>SUM(E105:E108)</f>
        <v>-9804.929999999998</v>
      </c>
    </row>
    <row r="110" spans="2:5" ht="13.5" thickBot="1">
      <c r="B110" s="363" t="s">
        <v>87</v>
      </c>
      <c r="C110" s="364"/>
      <c r="D110" s="364"/>
      <c r="E110" s="365"/>
    </row>
    <row r="111" spans="2:5" ht="12.75">
      <c r="B111" s="140" t="s">
        <v>285</v>
      </c>
      <c r="C111" s="234">
        <v>170180.96</v>
      </c>
      <c r="D111" s="218">
        <v>187141.15</v>
      </c>
      <c r="E111" s="242">
        <f aca="true" t="shared" si="1" ref="E111:E117">D111-C111</f>
        <v>16960.190000000002</v>
      </c>
    </row>
    <row r="112" spans="2:5" ht="12.75">
      <c r="B112" s="115" t="s">
        <v>637</v>
      </c>
      <c r="C112" s="10">
        <v>64291.14</v>
      </c>
      <c r="D112" s="98">
        <v>72494.64</v>
      </c>
      <c r="E112" s="57">
        <f t="shared" si="1"/>
        <v>8203.5</v>
      </c>
    </row>
    <row r="113" spans="2:5" ht="12.75">
      <c r="B113" s="115" t="s">
        <v>364</v>
      </c>
      <c r="C113" s="10">
        <v>23497.83</v>
      </c>
      <c r="D113" s="98">
        <v>17031.46</v>
      </c>
      <c r="E113" s="57">
        <f t="shared" si="1"/>
        <v>-6466.370000000003</v>
      </c>
    </row>
    <row r="114" spans="2:5" ht="12.75">
      <c r="B114" s="115" t="s">
        <v>633</v>
      </c>
      <c r="C114" s="10">
        <v>21839.45</v>
      </c>
      <c r="D114" s="98">
        <v>24141.66</v>
      </c>
      <c r="E114" s="57">
        <f t="shared" si="1"/>
        <v>2302.209999999999</v>
      </c>
    </row>
    <row r="115" spans="2:5" ht="12.75">
      <c r="B115" s="269" t="s">
        <v>1087</v>
      </c>
      <c r="C115" s="10">
        <v>14504.61</v>
      </c>
      <c r="D115" s="98">
        <v>16422.32</v>
      </c>
      <c r="E115" s="57">
        <f t="shared" si="1"/>
        <v>1917.7099999999991</v>
      </c>
    </row>
    <row r="116" spans="2:5" ht="12.75">
      <c r="B116" s="115" t="s">
        <v>1019</v>
      </c>
      <c r="C116" s="10">
        <v>4354.63</v>
      </c>
      <c r="D116" s="98">
        <v>4354.63</v>
      </c>
      <c r="E116" s="57">
        <f t="shared" si="1"/>
        <v>0</v>
      </c>
    </row>
    <row r="117" spans="2:5" ht="12.75" customHeight="1" thickBot="1">
      <c r="B117" s="157" t="s">
        <v>29</v>
      </c>
      <c r="C117" s="225">
        <f>3600</f>
        <v>3600</v>
      </c>
      <c r="D117" s="227">
        <f>3600</f>
        <v>3600</v>
      </c>
      <c r="E117" s="219">
        <f t="shared" si="1"/>
        <v>0</v>
      </c>
    </row>
    <row r="118" spans="2:5" ht="13.5" thickBot="1">
      <c r="B118" s="177"/>
      <c r="C118" s="217">
        <f>SUM(C111:C117)</f>
        <v>302268.62</v>
      </c>
      <c r="D118" s="217">
        <f>SUM(D111:D117)</f>
        <v>325185.86</v>
      </c>
      <c r="E118" s="217">
        <f>SUM(E111:E117)</f>
        <v>22917.239999999998</v>
      </c>
    </row>
    <row r="119" spans="2:5" ht="13.5" thickBot="1">
      <c r="B119" s="366" t="s">
        <v>379</v>
      </c>
      <c r="C119" s="367"/>
      <c r="D119" s="367"/>
      <c r="E119" s="368"/>
    </row>
    <row r="120" spans="2:5" ht="13.5" thickBot="1">
      <c r="B120" s="153"/>
      <c r="C120" s="176">
        <f>C86+C92+C97+C103+C109+C118</f>
        <v>1221152.82</v>
      </c>
      <c r="D120" s="176">
        <f>D86+D92+D97+D103+D109+D118</f>
        <v>1284676.25</v>
      </c>
      <c r="E120" s="176">
        <f>E86+E92+E97+E103+E109+E118</f>
        <v>63523.43</v>
      </c>
    </row>
  </sheetData>
  <sheetProtection/>
  <mergeCells count="24">
    <mergeCell ref="A6:E6"/>
    <mergeCell ref="A19:D19"/>
    <mergeCell ref="A20:D20"/>
    <mergeCell ref="D24:E24"/>
    <mergeCell ref="A2:B2"/>
    <mergeCell ref="C2:E2"/>
    <mergeCell ref="C3:E3"/>
    <mergeCell ref="B4:E4"/>
    <mergeCell ref="D75:E75"/>
    <mergeCell ref="D76:E76"/>
    <mergeCell ref="D77:E77"/>
    <mergeCell ref="D78:E78"/>
    <mergeCell ref="D71:E71"/>
    <mergeCell ref="D72:E72"/>
    <mergeCell ref="D73:E73"/>
    <mergeCell ref="D74:E74"/>
    <mergeCell ref="B98:E98"/>
    <mergeCell ref="B104:E104"/>
    <mergeCell ref="B119:E119"/>
    <mergeCell ref="B110:E110"/>
    <mergeCell ref="D79:E79"/>
    <mergeCell ref="B82:E82"/>
    <mergeCell ref="B87:E87"/>
    <mergeCell ref="B93:E93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875" style="0" customWidth="1"/>
    <col min="2" max="2" width="57.375" style="0" customWidth="1"/>
    <col min="3" max="3" width="10.625" style="0" customWidth="1"/>
    <col min="4" max="4" width="14.875" style="0" customWidth="1"/>
    <col min="5" max="5" width="11.37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7.2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293</v>
      </c>
      <c r="C7" s="26"/>
      <c r="D7" s="24"/>
    </row>
    <row r="8" spans="1:4" ht="15">
      <c r="A8" s="26"/>
      <c r="B8" s="27" t="s">
        <v>115</v>
      </c>
      <c r="C8" s="38">
        <v>1944.8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205861.45</v>
      </c>
      <c r="D11" s="218">
        <v>231964.73</v>
      </c>
      <c r="E11" s="242">
        <f aca="true" t="shared" si="0" ref="E11:E17">D11-C11</f>
        <v>26103.28</v>
      </c>
    </row>
    <row r="12" spans="1:5" ht="12.75">
      <c r="A12" s="84">
        <v>2</v>
      </c>
      <c r="B12" s="5" t="s">
        <v>637</v>
      </c>
      <c r="C12" s="10">
        <v>103383.48</v>
      </c>
      <c r="D12" s="98">
        <v>118205.46</v>
      </c>
      <c r="E12" s="57">
        <f t="shared" si="0"/>
        <v>14821.98000000001</v>
      </c>
    </row>
    <row r="13" spans="1:5" ht="12.75">
      <c r="A13" s="84">
        <v>3</v>
      </c>
      <c r="B13" s="5" t="s">
        <v>364</v>
      </c>
      <c r="C13" s="10">
        <v>31966.99</v>
      </c>
      <c r="D13" s="98">
        <v>29114.89</v>
      </c>
      <c r="E13" s="57">
        <f t="shared" si="0"/>
        <v>-2852.100000000002</v>
      </c>
    </row>
    <row r="14" spans="1:5" ht="12.75">
      <c r="A14" s="84">
        <v>4</v>
      </c>
      <c r="B14" s="5" t="s">
        <v>633</v>
      </c>
      <c r="C14" s="10">
        <v>14032.69</v>
      </c>
      <c r="D14" s="98">
        <v>15426.72</v>
      </c>
      <c r="E14" s="57">
        <f t="shared" si="0"/>
        <v>1394.0299999999988</v>
      </c>
    </row>
    <row r="15" spans="1:5" ht="12.75">
      <c r="A15" s="84">
        <v>5</v>
      </c>
      <c r="B15" s="5" t="s">
        <v>1061</v>
      </c>
      <c r="C15" s="10">
        <f>3500+2400+3600</f>
        <v>9500</v>
      </c>
      <c r="D15" s="98">
        <f>4200+2400+3300</f>
        <v>9900</v>
      </c>
      <c r="E15" s="57">
        <f t="shared" si="0"/>
        <v>400</v>
      </c>
    </row>
    <row r="16" spans="1:5" ht="12.75">
      <c r="A16" s="84">
        <v>6</v>
      </c>
      <c r="B16" s="105" t="s">
        <v>1087</v>
      </c>
      <c r="C16" s="125">
        <v>21125.73</v>
      </c>
      <c r="D16" s="125">
        <v>22990.43</v>
      </c>
      <c r="E16" s="57">
        <f t="shared" si="0"/>
        <v>1864.7000000000007</v>
      </c>
    </row>
    <row r="17" spans="1:5" ht="12.75" customHeight="1" thickBot="1">
      <c r="A17" s="261">
        <v>7</v>
      </c>
      <c r="B17" s="276" t="s">
        <v>1088</v>
      </c>
      <c r="C17" s="142">
        <v>8005.54</v>
      </c>
      <c r="D17" s="142">
        <v>8005.54</v>
      </c>
      <c r="E17" s="222">
        <f t="shared" si="0"/>
        <v>0</v>
      </c>
    </row>
    <row r="18" spans="1:5" ht="13.5" thickBot="1">
      <c r="A18" s="250"/>
      <c r="B18" s="251"/>
      <c r="C18" s="118">
        <f>SUM(C11:C17)</f>
        <v>393875.87999999995</v>
      </c>
      <c r="D18" s="118">
        <f>SUM(D11:D17)</f>
        <v>435607.76999999996</v>
      </c>
      <c r="E18" s="137">
        <f>SUM(E11:E17)</f>
        <v>41731.89</v>
      </c>
    </row>
    <row r="19" spans="1:5" ht="12.75">
      <c r="A19" s="385" t="s">
        <v>793</v>
      </c>
      <c r="B19" s="386"/>
      <c r="C19" s="386"/>
      <c r="D19" s="386"/>
      <c r="E19" s="108">
        <f>E125</f>
        <v>97065.91999999995</v>
      </c>
    </row>
    <row r="20" spans="1:5" ht="12.75">
      <c r="A20" s="387" t="s">
        <v>794</v>
      </c>
      <c r="B20" s="384"/>
      <c r="C20" s="384"/>
      <c r="D20" s="384"/>
      <c r="E20" s="22">
        <v>141963.33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12.75">
      <c r="A23" s="86">
        <v>1</v>
      </c>
      <c r="B23" s="64" t="s">
        <v>446</v>
      </c>
      <c r="C23" s="80">
        <f>C61</f>
        <v>147093.62</v>
      </c>
      <c r="E23" s="29"/>
    </row>
    <row r="24" spans="1:5" ht="12.75">
      <c r="A24" s="91">
        <v>2</v>
      </c>
      <c r="B24" s="25" t="s">
        <v>344</v>
      </c>
      <c r="C24" s="102">
        <f>C68</f>
        <v>7914.02</v>
      </c>
      <c r="D24" s="388"/>
      <c r="E24" s="389"/>
    </row>
    <row r="25" spans="1:5" ht="12.75">
      <c r="A25" s="84">
        <v>3</v>
      </c>
      <c r="B25" s="9" t="s">
        <v>649</v>
      </c>
      <c r="C25" s="48">
        <v>1245.51</v>
      </c>
      <c r="E25" s="29"/>
    </row>
    <row r="26" spans="1:5" ht="12.75">
      <c r="A26" s="84">
        <v>4</v>
      </c>
      <c r="B26" s="9" t="s">
        <v>122</v>
      </c>
      <c r="C26" s="48">
        <f>(C8*0.55*12)</f>
        <v>12835.68</v>
      </c>
      <c r="E26" s="29"/>
    </row>
    <row r="27" spans="1:5" ht="12.75">
      <c r="A27" s="84">
        <v>5</v>
      </c>
      <c r="B27" s="9" t="s">
        <v>658</v>
      </c>
      <c r="C27" s="79">
        <v>33287.28</v>
      </c>
      <c r="E27" s="29"/>
    </row>
    <row r="28" spans="1:5" ht="12.75">
      <c r="A28" s="91">
        <v>6</v>
      </c>
      <c r="B28" s="25" t="s">
        <v>61</v>
      </c>
      <c r="C28" s="96">
        <v>2400</v>
      </c>
      <c r="E28" s="29"/>
    </row>
    <row r="29" spans="1:5" ht="12.75">
      <c r="A29" s="91">
        <v>7</v>
      </c>
      <c r="B29" s="25" t="s">
        <v>1094</v>
      </c>
      <c r="C29" s="96">
        <v>19700.98</v>
      </c>
      <c r="E29" s="29"/>
    </row>
    <row r="30" spans="1:5" ht="12.75">
      <c r="A30" s="91">
        <v>8</v>
      </c>
      <c r="B30" s="346" t="s">
        <v>26</v>
      </c>
      <c r="C30" s="96">
        <v>600</v>
      </c>
      <c r="E30" s="29"/>
    </row>
    <row r="31" spans="1:5" ht="25.5">
      <c r="A31" s="91">
        <v>9</v>
      </c>
      <c r="B31" s="25" t="s">
        <v>60</v>
      </c>
      <c r="C31" s="96">
        <v>10700</v>
      </c>
      <c r="E31" s="29"/>
    </row>
    <row r="32" spans="1:5" ht="25.5">
      <c r="A32" s="91">
        <v>10</v>
      </c>
      <c r="B32" s="25" t="s">
        <v>327</v>
      </c>
      <c r="C32" s="96">
        <v>3352.98</v>
      </c>
      <c r="E32" s="29"/>
    </row>
    <row r="33" spans="1:5" ht="12.75">
      <c r="A33" s="91">
        <v>11</v>
      </c>
      <c r="B33" s="25" t="s">
        <v>1175</v>
      </c>
      <c r="C33" s="349">
        <v>3824.5</v>
      </c>
      <c r="E33" s="29"/>
    </row>
    <row r="34" spans="1:3" ht="12.75">
      <c r="A34" s="50"/>
      <c r="B34" s="20" t="s">
        <v>629</v>
      </c>
      <c r="C34" s="51">
        <f>SUM(C23:C33)</f>
        <v>242954.57</v>
      </c>
    </row>
    <row r="35" spans="1:3" ht="12.75">
      <c r="A35" s="49"/>
      <c r="B35" s="8" t="s">
        <v>965</v>
      </c>
      <c r="C35" s="45"/>
    </row>
    <row r="36" spans="1:3" ht="12.75">
      <c r="A36" s="84">
        <v>1</v>
      </c>
      <c r="B36" s="9" t="s">
        <v>228</v>
      </c>
      <c r="C36" s="48">
        <f>(C18)*15%</f>
        <v>59081.38199999999</v>
      </c>
    </row>
    <row r="37" spans="1:3" ht="12.75">
      <c r="A37" s="84">
        <v>2</v>
      </c>
      <c r="B37" s="9" t="s">
        <v>813</v>
      </c>
      <c r="C37" s="48">
        <f>C74</f>
        <v>4212.156368421982</v>
      </c>
    </row>
    <row r="38" spans="1:3" ht="12.75">
      <c r="A38" s="84">
        <v>3</v>
      </c>
      <c r="B38" s="9" t="s">
        <v>653</v>
      </c>
      <c r="C38" s="48">
        <f>C75</f>
        <v>4575.025947509391</v>
      </c>
    </row>
    <row r="39" spans="1:3" ht="12.75">
      <c r="A39" s="84">
        <v>4</v>
      </c>
      <c r="B39" s="9" t="s">
        <v>1114</v>
      </c>
      <c r="C39" s="52">
        <f>C76</f>
        <v>9287.485593817246</v>
      </c>
    </row>
    <row r="40" spans="1:3" ht="12.75">
      <c r="A40" s="84">
        <v>5</v>
      </c>
      <c r="B40" s="9" t="s">
        <v>162</v>
      </c>
      <c r="C40" s="52">
        <f>C77</f>
        <v>6786.2424886030285</v>
      </c>
    </row>
    <row r="41" spans="1:3" ht="12.75">
      <c r="A41" s="84">
        <v>6</v>
      </c>
      <c r="B41" s="9" t="s">
        <v>1051</v>
      </c>
      <c r="C41" s="48">
        <f>C78+C80+C81+C82+C79</f>
        <v>11516.22481377748</v>
      </c>
    </row>
    <row r="42" spans="1:3" ht="12.75">
      <c r="A42" s="49"/>
      <c r="B42" s="74" t="s">
        <v>809</v>
      </c>
      <c r="C42" s="53"/>
    </row>
    <row r="43" spans="1:3" ht="12.75">
      <c r="A43" s="49"/>
      <c r="B43" s="5" t="s">
        <v>655</v>
      </c>
      <c r="C43" s="53"/>
    </row>
    <row r="44" spans="1:3" ht="12.75">
      <c r="A44" s="49"/>
      <c r="B44" s="74" t="s">
        <v>656</v>
      </c>
      <c r="C44" s="53"/>
    </row>
    <row r="45" spans="1:3" ht="12.75">
      <c r="A45" s="49"/>
      <c r="B45" s="74" t="s">
        <v>808</v>
      </c>
      <c r="C45" s="53"/>
    </row>
    <row r="46" spans="1:3" ht="12.75">
      <c r="A46" s="50"/>
      <c r="B46" s="20" t="s">
        <v>629</v>
      </c>
      <c r="C46" s="51">
        <f>C36+C37+C38+C39+C40+C41</f>
        <v>95458.51721212911</v>
      </c>
    </row>
    <row r="47" spans="1:3" ht="12.75">
      <c r="A47" s="49"/>
      <c r="B47" s="7" t="s">
        <v>966</v>
      </c>
      <c r="C47" s="45"/>
    </row>
    <row r="48" spans="1:3" ht="12.75">
      <c r="A48" s="84">
        <v>1</v>
      </c>
      <c r="B48" s="9" t="s">
        <v>631</v>
      </c>
      <c r="C48" s="48">
        <f>C18*2%</f>
        <v>7877.517599999999</v>
      </c>
    </row>
    <row r="49" spans="1:3" ht="12.75">
      <c r="A49" s="84">
        <v>2</v>
      </c>
      <c r="B49" s="9" t="s">
        <v>391</v>
      </c>
      <c r="C49" s="48">
        <f>C50</f>
        <v>23159.901743999995</v>
      </c>
    </row>
    <row r="50" spans="1:4" ht="12.75">
      <c r="A50" s="49"/>
      <c r="B50" s="5" t="s">
        <v>334</v>
      </c>
      <c r="C50" s="41">
        <f>(C18-C48)*6%</f>
        <v>23159.901743999995</v>
      </c>
      <c r="D50" s="19"/>
    </row>
    <row r="51" spans="1:3" ht="13.5" thickBot="1">
      <c r="A51" s="54"/>
      <c r="B51" s="55" t="s">
        <v>967</v>
      </c>
      <c r="C51" s="56">
        <f>C48+C49</f>
        <v>31037.419343999994</v>
      </c>
    </row>
    <row r="52" spans="1:3" ht="12.75">
      <c r="A52" s="23"/>
      <c r="B52" s="4" t="s">
        <v>288</v>
      </c>
      <c r="C52" s="11">
        <f>C34+C46+C51</f>
        <v>369450.50655612914</v>
      </c>
    </row>
    <row r="53" spans="1:3" ht="12.75">
      <c r="A53" s="23"/>
      <c r="B53" s="77"/>
      <c r="C53" s="1"/>
    </row>
    <row r="54" spans="1:3" ht="15">
      <c r="A54" s="23"/>
      <c r="B54" s="14" t="s">
        <v>812</v>
      </c>
      <c r="C54" s="11">
        <v>259016.07</v>
      </c>
    </row>
    <row r="55" spans="1:3" ht="15">
      <c r="A55" s="23"/>
      <c r="B55" s="14" t="s">
        <v>180</v>
      </c>
      <c r="C55" s="11">
        <f>C52+C54-C18</f>
        <v>234590.6965561292</v>
      </c>
    </row>
    <row r="56" ht="12.75">
      <c r="B56" s="1" t="s">
        <v>85</v>
      </c>
    </row>
    <row r="57" ht="17.25" customHeight="1">
      <c r="B57" s="1" t="s">
        <v>1197</v>
      </c>
    </row>
    <row r="58" spans="1:4" ht="12.75">
      <c r="A58" s="2"/>
      <c r="B58" s="2"/>
      <c r="C58" s="2" t="s">
        <v>790</v>
      </c>
      <c r="D58" s="2"/>
    </row>
    <row r="59" spans="1:4" ht="12.75">
      <c r="A59" s="2"/>
      <c r="B59" s="2"/>
      <c r="C59" s="2" t="s">
        <v>1059</v>
      </c>
      <c r="D59" s="2"/>
    </row>
    <row r="60" spans="1:5" ht="13.5" thickBot="1">
      <c r="A60" s="37"/>
      <c r="B60" s="37" t="s">
        <v>969</v>
      </c>
      <c r="C60" s="32" t="s">
        <v>886</v>
      </c>
      <c r="D60" s="114">
        <f>C8</f>
        <v>1944.8</v>
      </c>
      <c r="E60" t="s">
        <v>116</v>
      </c>
    </row>
    <row r="61" spans="1:5" ht="12.75">
      <c r="A61" s="60" t="s">
        <v>218</v>
      </c>
      <c r="B61" s="39" t="s">
        <v>832</v>
      </c>
      <c r="C61" s="47">
        <v>147093.62</v>
      </c>
      <c r="D61" s="15"/>
      <c r="E61" s="21"/>
    </row>
    <row r="62" spans="1:5" ht="12.75">
      <c r="A62" s="61"/>
      <c r="B62" s="6" t="s">
        <v>118</v>
      </c>
      <c r="C62" s="41"/>
      <c r="D62" s="15"/>
      <c r="E62" s="21"/>
    </row>
    <row r="63" spans="1:5" ht="12.75">
      <c r="A63" s="62" t="s">
        <v>166</v>
      </c>
      <c r="B63" s="6" t="s">
        <v>380</v>
      </c>
      <c r="C63" s="41">
        <v>3389.5</v>
      </c>
      <c r="D63" s="15"/>
      <c r="E63" s="15"/>
    </row>
    <row r="64" spans="1:5" ht="12.75">
      <c r="A64" s="62" t="s">
        <v>166</v>
      </c>
      <c r="B64" s="6" t="s">
        <v>842</v>
      </c>
      <c r="C64" s="41">
        <v>3267</v>
      </c>
      <c r="D64" s="15"/>
      <c r="E64" s="15"/>
    </row>
    <row r="65" spans="1:5" ht="12.75">
      <c r="A65" s="62" t="s">
        <v>166</v>
      </c>
      <c r="B65" s="6" t="s">
        <v>277</v>
      </c>
      <c r="C65" s="41">
        <v>3400</v>
      </c>
      <c r="D65" s="15"/>
      <c r="E65" s="15"/>
    </row>
    <row r="66" spans="1:5" ht="12.75">
      <c r="A66" s="62" t="s">
        <v>166</v>
      </c>
      <c r="B66" s="6" t="s">
        <v>371</v>
      </c>
      <c r="C66" s="41">
        <v>16753.3</v>
      </c>
      <c r="D66" s="15"/>
      <c r="E66" s="15"/>
    </row>
    <row r="67" spans="1:5" ht="13.5" thickBot="1">
      <c r="A67" s="63" t="s">
        <v>166</v>
      </c>
      <c r="B67" s="42" t="s">
        <v>818</v>
      </c>
      <c r="C67" s="46">
        <v>132.53</v>
      </c>
      <c r="D67" s="15"/>
      <c r="E67" s="15"/>
    </row>
    <row r="68" spans="1:5" ht="12.75">
      <c r="A68" s="60" t="s">
        <v>328</v>
      </c>
      <c r="B68" s="39" t="s">
        <v>343</v>
      </c>
      <c r="C68" s="47">
        <v>7914.02</v>
      </c>
      <c r="D68" s="15"/>
      <c r="E68" s="12"/>
    </row>
    <row r="69" spans="1:5" ht="12.75">
      <c r="A69" s="61"/>
      <c r="B69" s="6" t="s">
        <v>118</v>
      </c>
      <c r="C69" s="41"/>
      <c r="D69" s="15"/>
      <c r="E69" s="12"/>
    </row>
    <row r="70" spans="1:5" ht="12.75">
      <c r="A70" s="62" t="s">
        <v>166</v>
      </c>
      <c r="B70" s="6" t="s">
        <v>380</v>
      </c>
      <c r="C70" s="41">
        <v>473</v>
      </c>
      <c r="D70" s="15"/>
      <c r="E70" s="12"/>
    </row>
    <row r="71" spans="1:5" ht="13.5" thickBot="1">
      <c r="A71" s="63" t="s">
        <v>166</v>
      </c>
      <c r="B71" s="42" t="s">
        <v>818</v>
      </c>
      <c r="C71" s="46">
        <v>111.2</v>
      </c>
      <c r="D71" s="15"/>
      <c r="E71" s="15"/>
    </row>
    <row r="72" spans="1:5" ht="12.75">
      <c r="A72" s="300" t="s">
        <v>787</v>
      </c>
      <c r="B72" s="97" t="s">
        <v>1050</v>
      </c>
      <c r="C72" s="82">
        <f>C73+C74+C76+C75+C77+C78+C80+C81+C82+C79</f>
        <v>95458.51721212911</v>
      </c>
      <c r="D72" s="15"/>
      <c r="E72" s="12"/>
    </row>
    <row r="73" spans="1:5" ht="13.5" thickBot="1">
      <c r="A73" s="40" t="s">
        <v>166</v>
      </c>
      <c r="B73" s="6" t="s">
        <v>227</v>
      </c>
      <c r="C73" s="41">
        <f>C36</f>
        <v>59081.38199999999</v>
      </c>
      <c r="D73" s="15"/>
      <c r="E73" s="12"/>
    </row>
    <row r="74" spans="1:5" ht="12.75">
      <c r="A74" s="40" t="s">
        <v>166</v>
      </c>
      <c r="B74" s="6" t="s">
        <v>370</v>
      </c>
      <c r="C74" s="317">
        <f>401410.25/185335.63*C8</f>
        <v>4212.156368421982</v>
      </c>
      <c r="D74" s="375" t="s">
        <v>833</v>
      </c>
      <c r="E74" s="376"/>
    </row>
    <row r="75" spans="1:5" ht="12.75">
      <c r="A75" s="73" t="s">
        <v>166</v>
      </c>
      <c r="B75" s="74" t="s">
        <v>397</v>
      </c>
      <c r="C75" s="317">
        <f>435991.01/185335.63*C8</f>
        <v>4575.025947509391</v>
      </c>
      <c r="D75" s="377" t="s">
        <v>834</v>
      </c>
      <c r="E75" s="378"/>
    </row>
    <row r="76" spans="1:5" ht="12.75">
      <c r="A76" s="71" t="s">
        <v>166</v>
      </c>
      <c r="B76" s="72" t="s">
        <v>416</v>
      </c>
      <c r="C76" s="317">
        <f>1082167/226605.83*C8</f>
        <v>9287.485593817246</v>
      </c>
      <c r="D76" s="379" t="s">
        <v>835</v>
      </c>
      <c r="E76" s="380"/>
    </row>
    <row r="77" spans="1:5" ht="25.5">
      <c r="A77" s="73" t="s">
        <v>166</v>
      </c>
      <c r="B77" s="72" t="s">
        <v>231</v>
      </c>
      <c r="C77" s="318">
        <f>845684.35/242356.05*D60</f>
        <v>6786.2424886030285</v>
      </c>
      <c r="D77" s="381" t="s">
        <v>836</v>
      </c>
      <c r="E77" s="382"/>
    </row>
    <row r="78" spans="1:5" ht="12.75">
      <c r="A78" s="73" t="s">
        <v>166</v>
      </c>
      <c r="B78" s="74" t="s">
        <v>808</v>
      </c>
      <c r="C78" s="318">
        <f>642562.44/242356.05*D60</f>
        <v>5156.279091493692</v>
      </c>
      <c r="D78" s="371" t="s">
        <v>837</v>
      </c>
      <c r="E78" s="372"/>
    </row>
    <row r="79" spans="1:5" ht="12.75">
      <c r="A79" s="73" t="s">
        <v>166</v>
      </c>
      <c r="B79" s="74" t="s">
        <v>826</v>
      </c>
      <c r="C79" s="318">
        <f>51615/196822.43*D60</f>
        <v>510.0071775356092</v>
      </c>
      <c r="D79" s="371" t="s">
        <v>838</v>
      </c>
      <c r="E79" s="372"/>
    </row>
    <row r="80" spans="1:5" ht="12.75">
      <c r="A80" s="73" t="s">
        <v>166</v>
      </c>
      <c r="B80" s="74" t="s">
        <v>655</v>
      </c>
      <c r="C80" s="318">
        <f>129011.28/196822.43*D60</f>
        <v>1274.7588643428494</v>
      </c>
      <c r="D80" s="371" t="s">
        <v>839</v>
      </c>
      <c r="E80" s="372"/>
    </row>
    <row r="81" spans="1:5" ht="12.75">
      <c r="A81" s="73" t="s">
        <v>166</v>
      </c>
      <c r="B81" s="74" t="s">
        <v>656</v>
      </c>
      <c r="C81" s="318">
        <f>164128/196822.43*D60</f>
        <v>1621.7467409583348</v>
      </c>
      <c r="D81" s="373" t="s">
        <v>840</v>
      </c>
      <c r="E81" s="374"/>
    </row>
    <row r="82" spans="1:5" ht="13.5" thickBot="1">
      <c r="A82" s="75" t="s">
        <v>166</v>
      </c>
      <c r="B82" s="76" t="s">
        <v>809</v>
      </c>
      <c r="C82" s="319">
        <f>298900.58/196822.43*D60</f>
        <v>2953.432939446993</v>
      </c>
      <c r="D82" s="369" t="s">
        <v>841</v>
      </c>
      <c r="E82" s="370"/>
    </row>
    <row r="83" ht="13.5" thickBot="1"/>
    <row r="84" spans="2:5" ht="24.75" thickBot="1">
      <c r="B84" s="143"/>
      <c r="C84" s="159" t="s">
        <v>104</v>
      </c>
      <c r="D84" s="161" t="s">
        <v>306</v>
      </c>
      <c r="E84" s="160" t="s">
        <v>1115</v>
      </c>
    </row>
    <row r="85" spans="2:5" ht="13.5" thickBot="1">
      <c r="B85" s="363" t="s">
        <v>1196</v>
      </c>
      <c r="C85" s="364"/>
      <c r="D85" s="364"/>
      <c r="E85" s="368"/>
    </row>
    <row r="86" spans="2:5" ht="12.75">
      <c r="B86" s="140" t="s">
        <v>285</v>
      </c>
      <c r="C86" s="162">
        <v>116342.22</v>
      </c>
      <c r="D86" s="163">
        <v>136277.57</v>
      </c>
      <c r="E86" s="164">
        <f>D86-C86</f>
        <v>19935.350000000006</v>
      </c>
    </row>
    <row r="87" spans="2:5" ht="13.5" thickBot="1">
      <c r="B87" s="115" t="s">
        <v>637</v>
      </c>
      <c r="C87" s="36">
        <v>69150.4</v>
      </c>
      <c r="D87" s="165">
        <v>78872.98</v>
      </c>
      <c r="E87" s="166">
        <f>D87-C87</f>
        <v>9722.580000000002</v>
      </c>
    </row>
    <row r="88" spans="2:5" ht="13.5" thickBot="1">
      <c r="B88" s="143"/>
      <c r="C88" s="167">
        <f>SUM(C86:C87)</f>
        <v>185492.62</v>
      </c>
      <c r="D88" s="168">
        <f>SUM(D86:D87)</f>
        <v>215150.55</v>
      </c>
      <c r="E88" s="169">
        <f>D88-C88</f>
        <v>29657.929999999993</v>
      </c>
    </row>
    <row r="89" spans="2:5" ht="13.5" thickBot="1">
      <c r="B89" s="363" t="s">
        <v>804</v>
      </c>
      <c r="C89" s="364"/>
      <c r="D89" s="364"/>
      <c r="E89" s="365"/>
    </row>
    <row r="90" spans="2:5" ht="12.75">
      <c r="B90" s="140" t="s">
        <v>285</v>
      </c>
      <c r="C90" s="162">
        <v>178219.48</v>
      </c>
      <c r="D90" s="170">
        <v>180847.8</v>
      </c>
      <c r="E90" s="171">
        <f>D90-C90</f>
        <v>2628.319999999978</v>
      </c>
    </row>
    <row r="91" spans="2:5" ht="13.5" thickBot="1">
      <c r="B91" s="157" t="s">
        <v>637</v>
      </c>
      <c r="C91" s="172">
        <v>90241.91</v>
      </c>
      <c r="D91" s="165">
        <v>91123.96</v>
      </c>
      <c r="E91" s="166">
        <f>D91-C91</f>
        <v>882.0500000000029</v>
      </c>
    </row>
    <row r="92" spans="2:5" ht="13.5" thickBot="1">
      <c r="B92" s="153"/>
      <c r="C92" s="173">
        <f>SUM(C90:C91)</f>
        <v>268461.39</v>
      </c>
      <c r="D92" s="174">
        <f>SUM(D90:D91)</f>
        <v>271971.76</v>
      </c>
      <c r="E92" s="174">
        <f>SUM(E90:E91)</f>
        <v>3510.369999999981</v>
      </c>
    </row>
    <row r="93" spans="2:5" ht="13.5" thickBot="1">
      <c r="B93" s="363" t="s">
        <v>382</v>
      </c>
      <c r="C93" s="364"/>
      <c r="D93" s="364"/>
      <c r="E93" s="365"/>
    </row>
    <row r="94" spans="2:5" ht="12.75">
      <c r="B94" s="140" t="s">
        <v>285</v>
      </c>
      <c r="C94" s="212">
        <v>188250.7</v>
      </c>
      <c r="D94" s="285">
        <v>203024.94</v>
      </c>
      <c r="E94" s="242">
        <f>D94-C94</f>
        <v>14774.23999999999</v>
      </c>
    </row>
    <row r="95" spans="2:5" ht="12.75">
      <c r="B95" s="115" t="s">
        <v>637</v>
      </c>
      <c r="C95" s="18">
        <v>91398.48</v>
      </c>
      <c r="D95" s="36">
        <v>98712.13</v>
      </c>
      <c r="E95" s="57">
        <f>D95-C95</f>
        <v>7313.650000000009</v>
      </c>
    </row>
    <row r="96" spans="2:5" ht="26.25" thickBot="1">
      <c r="B96" s="156" t="s">
        <v>939</v>
      </c>
      <c r="C96" s="267">
        <v>2500</v>
      </c>
      <c r="D96" s="287">
        <v>2500</v>
      </c>
      <c r="E96" s="219">
        <f>C96-D96</f>
        <v>0</v>
      </c>
    </row>
    <row r="97" spans="2:5" ht="13.5" thickBot="1">
      <c r="B97" s="143"/>
      <c r="C97" s="174">
        <f>SUM(C94:C96)</f>
        <v>282149.18</v>
      </c>
      <c r="D97" s="174">
        <f>SUM(D94:D96)</f>
        <v>304237.07</v>
      </c>
      <c r="E97" s="174">
        <f>SUM(E94:E96)</f>
        <v>22087.89</v>
      </c>
    </row>
    <row r="98" spans="2:5" ht="13.5" thickBot="1">
      <c r="B98" s="363" t="s">
        <v>1058</v>
      </c>
      <c r="C98" s="364"/>
      <c r="D98" s="364"/>
      <c r="E98" s="365"/>
    </row>
    <row r="99" spans="2:5" ht="12.75">
      <c r="B99" s="140" t="s">
        <v>285</v>
      </c>
      <c r="C99" s="141">
        <v>216278.75</v>
      </c>
      <c r="D99" s="218">
        <v>216222.86</v>
      </c>
      <c r="E99" s="242">
        <f>D99-C99</f>
        <v>-55.89000000001397</v>
      </c>
    </row>
    <row r="100" spans="2:5" ht="12.75">
      <c r="B100" s="115" t="s">
        <v>637</v>
      </c>
      <c r="C100" s="5">
        <v>105396.55</v>
      </c>
      <c r="D100" s="99">
        <v>105135.89</v>
      </c>
      <c r="E100" s="57">
        <f>D100-C100</f>
        <v>-260.6600000000035</v>
      </c>
    </row>
    <row r="101" spans="2:5" ht="12.75">
      <c r="B101" s="115" t="s">
        <v>633</v>
      </c>
      <c r="C101" s="5">
        <v>8329.22</v>
      </c>
      <c r="D101" s="98">
        <v>10498.74</v>
      </c>
      <c r="E101" s="57">
        <f>D101-C101</f>
        <v>2169.5200000000004</v>
      </c>
    </row>
    <row r="102" spans="2:5" ht="12.75">
      <c r="B102" s="115" t="s">
        <v>1200</v>
      </c>
      <c r="C102" s="10">
        <v>8990.01</v>
      </c>
      <c r="D102" s="98">
        <v>8990.01</v>
      </c>
      <c r="E102" s="57">
        <f>D102-C102</f>
        <v>0</v>
      </c>
    </row>
    <row r="103" spans="2:5" ht="12.75">
      <c r="B103" s="115" t="s">
        <v>364</v>
      </c>
      <c r="C103" s="5">
        <v>3159.19</v>
      </c>
      <c r="D103" s="98">
        <v>8783.8</v>
      </c>
      <c r="E103" s="57">
        <f>D103-C103</f>
        <v>5624.609999999999</v>
      </c>
    </row>
    <row r="104" spans="2:5" ht="26.25" thickBot="1">
      <c r="B104" s="156" t="s">
        <v>939</v>
      </c>
      <c r="C104" s="274">
        <v>3500</v>
      </c>
      <c r="D104" s="274">
        <v>3500</v>
      </c>
      <c r="E104" s="219">
        <f>C104-D104</f>
        <v>0</v>
      </c>
    </row>
    <row r="105" spans="2:5" ht="13.5" thickBot="1">
      <c r="B105" s="177"/>
      <c r="C105" s="217">
        <f>SUM(C99:C104)</f>
        <v>345653.72</v>
      </c>
      <c r="D105" s="217">
        <f>SUM(D99:D104)</f>
        <v>353131.3</v>
      </c>
      <c r="E105" s="217">
        <f>SUM(E99:E104)</f>
        <v>7477.579999999982</v>
      </c>
    </row>
    <row r="106" spans="2:5" ht="13.5" thickBot="1">
      <c r="B106" s="363" t="s">
        <v>823</v>
      </c>
      <c r="C106" s="364"/>
      <c r="D106" s="364"/>
      <c r="E106" s="365"/>
    </row>
    <row r="107" spans="2:5" ht="12.75">
      <c r="B107" s="140" t="s">
        <v>285</v>
      </c>
      <c r="C107" s="141">
        <v>122396.07</v>
      </c>
      <c r="D107" s="155">
        <v>114177.88</v>
      </c>
      <c r="E107" s="242">
        <f aca="true" t="shared" si="1" ref="E107:E113">D107-C107</f>
        <v>-8218.190000000002</v>
      </c>
    </row>
    <row r="108" spans="2:5" ht="12.75">
      <c r="B108" s="115" t="s">
        <v>637</v>
      </c>
      <c r="C108" s="5">
        <v>60105.65</v>
      </c>
      <c r="D108" s="33">
        <v>55776.84</v>
      </c>
      <c r="E108" s="57">
        <f t="shared" si="1"/>
        <v>-4328.810000000005</v>
      </c>
    </row>
    <row r="109" spans="2:5" ht="12.75">
      <c r="B109" s="115" t="s">
        <v>633</v>
      </c>
      <c r="C109" s="65">
        <v>7818.64</v>
      </c>
      <c r="D109" s="70">
        <v>7284.84</v>
      </c>
      <c r="E109" s="57">
        <f t="shared" si="1"/>
        <v>-533.8000000000002</v>
      </c>
    </row>
    <row r="110" spans="2:5" ht="12.75">
      <c r="B110" s="116" t="s">
        <v>364</v>
      </c>
      <c r="C110" s="94">
        <v>50374.37</v>
      </c>
      <c r="D110" s="83">
        <v>52702.8</v>
      </c>
      <c r="E110" s="57">
        <f t="shared" si="1"/>
        <v>2328.4300000000003</v>
      </c>
    </row>
    <row r="111" spans="2:5" ht="12.75">
      <c r="B111" s="116" t="s">
        <v>364</v>
      </c>
      <c r="C111" s="94">
        <v>50374.37</v>
      </c>
      <c r="D111" s="83">
        <v>52702.8</v>
      </c>
      <c r="E111" s="57">
        <f>D111-C111</f>
        <v>2328.4300000000003</v>
      </c>
    </row>
    <row r="112" spans="2:5" ht="12.75">
      <c r="B112" s="116" t="s">
        <v>415</v>
      </c>
      <c r="C112" s="94">
        <v>0</v>
      </c>
      <c r="D112" s="83">
        <v>524.2</v>
      </c>
      <c r="E112" s="57">
        <f t="shared" si="1"/>
        <v>524.2</v>
      </c>
    </row>
    <row r="113" spans="2:5" ht="13.5" thickBot="1">
      <c r="B113" s="156" t="s">
        <v>792</v>
      </c>
      <c r="C113" s="229">
        <v>3850</v>
      </c>
      <c r="D113" s="229">
        <v>4350</v>
      </c>
      <c r="E113" s="219">
        <f t="shared" si="1"/>
        <v>500</v>
      </c>
    </row>
    <row r="114" spans="2:5" ht="13.5" thickBot="1">
      <c r="B114" s="177"/>
      <c r="C114" s="217">
        <f>SUM(C107:C113)</f>
        <v>294919.10000000003</v>
      </c>
      <c r="D114" s="217">
        <f>SUM(D107:D113)</f>
        <v>287519.36</v>
      </c>
      <c r="E114" s="217">
        <f>SUM(E107:E113)</f>
        <v>-7399.740000000006</v>
      </c>
    </row>
    <row r="115" spans="2:5" ht="13.5" thickBot="1">
      <c r="B115" s="363" t="s">
        <v>87</v>
      </c>
      <c r="C115" s="364"/>
      <c r="D115" s="364"/>
      <c r="E115" s="365"/>
    </row>
    <row r="116" spans="2:5" ht="12.75">
      <c r="B116" s="140" t="s">
        <v>285</v>
      </c>
      <c r="C116" s="234">
        <v>205861.45</v>
      </c>
      <c r="D116" s="218">
        <v>231964.73</v>
      </c>
      <c r="E116" s="242">
        <f aca="true" t="shared" si="2" ref="E116:E122">D116-C116</f>
        <v>26103.28</v>
      </c>
    </row>
    <row r="117" spans="2:5" ht="12.75">
      <c r="B117" s="115" t="s">
        <v>637</v>
      </c>
      <c r="C117" s="10">
        <v>103383.48</v>
      </c>
      <c r="D117" s="98">
        <v>118205.46</v>
      </c>
      <c r="E117" s="57">
        <f t="shared" si="2"/>
        <v>14821.98000000001</v>
      </c>
    </row>
    <row r="118" spans="2:5" ht="12.75">
      <c r="B118" s="115" t="s">
        <v>364</v>
      </c>
      <c r="C118" s="10">
        <v>31966.99</v>
      </c>
      <c r="D118" s="98">
        <v>29114.89</v>
      </c>
      <c r="E118" s="57">
        <f t="shared" si="2"/>
        <v>-2852.100000000002</v>
      </c>
    </row>
    <row r="119" spans="2:5" ht="12.75">
      <c r="B119" s="115" t="s">
        <v>633</v>
      </c>
      <c r="C119" s="10">
        <v>14032.69</v>
      </c>
      <c r="D119" s="98">
        <v>15426.72</v>
      </c>
      <c r="E119" s="57">
        <f t="shared" si="2"/>
        <v>1394.0299999999988</v>
      </c>
    </row>
    <row r="120" spans="2:5" ht="12.75">
      <c r="B120" s="115" t="s">
        <v>1061</v>
      </c>
      <c r="C120" s="10">
        <f>3500+2400+3600</f>
        <v>9500</v>
      </c>
      <c r="D120" s="98">
        <f>4200+2400+3300</f>
        <v>9900</v>
      </c>
      <c r="E120" s="57">
        <f t="shared" si="2"/>
        <v>400</v>
      </c>
    </row>
    <row r="121" spans="2:5" ht="12.75">
      <c r="B121" s="269" t="s">
        <v>1087</v>
      </c>
      <c r="C121" s="125">
        <v>21125.73</v>
      </c>
      <c r="D121" s="125">
        <v>22990.43</v>
      </c>
      <c r="E121" s="57">
        <f t="shared" si="2"/>
        <v>1864.7000000000007</v>
      </c>
    </row>
    <row r="122" spans="2:5" ht="12.75" customHeight="1" thickBot="1">
      <c r="B122" s="266" t="s">
        <v>1088</v>
      </c>
      <c r="C122" s="142">
        <v>8005.54</v>
      </c>
      <c r="D122" s="142">
        <v>8005.54</v>
      </c>
      <c r="E122" s="219">
        <f t="shared" si="2"/>
        <v>0</v>
      </c>
    </row>
    <row r="123" spans="2:5" ht="13.5" thickBot="1">
      <c r="B123" s="177"/>
      <c r="C123" s="217">
        <f>SUM(C116:C122)</f>
        <v>393875.87999999995</v>
      </c>
      <c r="D123" s="217">
        <f>SUM(D116:D122)</f>
        <v>435607.76999999996</v>
      </c>
      <c r="E123" s="217">
        <f>SUM(E116:E122)</f>
        <v>41731.89</v>
      </c>
    </row>
    <row r="124" spans="2:5" ht="13.5" thickBot="1">
      <c r="B124" s="366" t="s">
        <v>379</v>
      </c>
      <c r="C124" s="367"/>
      <c r="D124" s="367"/>
      <c r="E124" s="368"/>
    </row>
    <row r="125" spans="2:5" ht="13.5" thickBot="1">
      <c r="B125" s="153"/>
      <c r="C125" s="176">
        <f>C88+C92+C97+C105+C114+C123</f>
        <v>1770551.89</v>
      </c>
      <c r="D125" s="176">
        <f>D88+D92+D97+D105+D114+D123</f>
        <v>1867617.81</v>
      </c>
      <c r="E125" s="176">
        <f>E88+E92+E97+E105+E114+E123</f>
        <v>97065.91999999995</v>
      </c>
    </row>
  </sheetData>
  <sheetProtection/>
  <mergeCells count="24">
    <mergeCell ref="A6:E6"/>
    <mergeCell ref="A19:D19"/>
    <mergeCell ref="A20:D20"/>
    <mergeCell ref="D24:E24"/>
    <mergeCell ref="A2:B2"/>
    <mergeCell ref="C2:E2"/>
    <mergeCell ref="C3:E3"/>
    <mergeCell ref="B4:E4"/>
    <mergeCell ref="D78:E78"/>
    <mergeCell ref="D79:E79"/>
    <mergeCell ref="D80:E80"/>
    <mergeCell ref="D81:E81"/>
    <mergeCell ref="D74:E74"/>
    <mergeCell ref="D75:E75"/>
    <mergeCell ref="D76:E76"/>
    <mergeCell ref="D77:E77"/>
    <mergeCell ref="B98:E98"/>
    <mergeCell ref="B106:E106"/>
    <mergeCell ref="B124:E124"/>
    <mergeCell ref="B115:E115"/>
    <mergeCell ref="D82:E82"/>
    <mergeCell ref="B85:E85"/>
    <mergeCell ref="B89:E89"/>
    <mergeCell ref="B93:E93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.00390625" style="0" customWidth="1"/>
    <col min="2" max="2" width="57.375" style="0" customWidth="1"/>
    <col min="3" max="3" width="10.625" style="0" customWidth="1"/>
    <col min="4" max="4" width="12.75390625" style="0" customWidth="1"/>
    <col min="5" max="5" width="13.00390625" style="0" customWidth="1"/>
  </cols>
  <sheetData>
    <row r="2" spans="1:5" ht="12.75">
      <c r="A2" s="390"/>
      <c r="B2" s="390"/>
      <c r="C2" s="391" t="s">
        <v>887</v>
      </c>
      <c r="D2" s="392"/>
      <c r="E2" s="392"/>
    </row>
    <row r="3" spans="1:5" ht="12.75">
      <c r="A3" s="23"/>
      <c r="C3" s="391" t="s">
        <v>83</v>
      </c>
      <c r="D3" s="392"/>
      <c r="E3" s="392"/>
    </row>
    <row r="4" spans="1:5" ht="15.75" customHeight="1">
      <c r="A4" s="23"/>
      <c r="B4" s="391" t="s">
        <v>803</v>
      </c>
      <c r="C4" s="392"/>
      <c r="D4" s="392"/>
      <c r="E4" s="392"/>
    </row>
    <row r="5" ht="18">
      <c r="B5" s="17" t="s">
        <v>120</v>
      </c>
    </row>
    <row r="6" spans="1:5" ht="15">
      <c r="A6" s="383" t="s">
        <v>439</v>
      </c>
      <c r="B6" s="384"/>
      <c r="C6" s="384"/>
      <c r="D6" s="384"/>
      <c r="E6" s="384"/>
    </row>
    <row r="7" spans="1:4" ht="15">
      <c r="A7" s="26"/>
      <c r="B7" s="27" t="s">
        <v>786</v>
      </c>
      <c r="C7" s="26"/>
      <c r="D7" s="24"/>
    </row>
    <row r="8" spans="1:4" ht="15">
      <c r="A8" s="26"/>
      <c r="B8" s="27" t="s">
        <v>115</v>
      </c>
      <c r="C8" s="38">
        <v>2002.6</v>
      </c>
      <c r="D8" s="92" t="s">
        <v>116</v>
      </c>
    </row>
    <row r="9" spans="1:5" ht="13.5" thickBot="1">
      <c r="A9" s="23" t="s">
        <v>635</v>
      </c>
      <c r="B9" s="3" t="s">
        <v>636</v>
      </c>
      <c r="C9" s="12"/>
      <c r="D9" s="21"/>
      <c r="E9" s="31"/>
    </row>
    <row r="10" spans="1:5" ht="39" thickBot="1">
      <c r="A10" s="237"/>
      <c r="B10" s="238" t="s">
        <v>103</v>
      </c>
      <c r="C10" s="239" t="s">
        <v>104</v>
      </c>
      <c r="D10" s="240" t="s">
        <v>306</v>
      </c>
      <c r="E10" s="241" t="s">
        <v>378</v>
      </c>
    </row>
    <row r="11" spans="1:5" ht="12.75">
      <c r="A11" s="113">
        <v>1</v>
      </c>
      <c r="B11" s="141" t="s">
        <v>285</v>
      </c>
      <c r="C11" s="234">
        <v>229823.59</v>
      </c>
      <c r="D11" s="218">
        <v>244441.93</v>
      </c>
      <c r="E11" s="242">
        <f aca="true" t="shared" si="0" ref="E11:E17">D11-C11</f>
        <v>14618.339999999997</v>
      </c>
    </row>
    <row r="12" spans="1:5" ht="12.75">
      <c r="A12" s="84">
        <v>2</v>
      </c>
      <c r="B12" s="5" t="s">
        <v>637</v>
      </c>
      <c r="C12" s="10">
        <v>113120.51</v>
      </c>
      <c r="D12" s="98">
        <v>121718.52</v>
      </c>
      <c r="E12" s="57">
        <f t="shared" si="0"/>
        <v>8598.01000000001</v>
      </c>
    </row>
    <row r="13" spans="1:5" ht="12.75">
      <c r="A13" s="84">
        <v>3</v>
      </c>
      <c r="B13" s="5" t="s">
        <v>364</v>
      </c>
      <c r="C13" s="10">
        <v>28512.32</v>
      </c>
      <c r="D13" s="98">
        <v>24021.85</v>
      </c>
      <c r="E13" s="57">
        <f t="shared" si="0"/>
        <v>-4490.470000000001</v>
      </c>
    </row>
    <row r="14" spans="1:5" ht="12.75">
      <c r="A14" s="84">
        <v>4</v>
      </c>
      <c r="B14" s="5" t="s">
        <v>633</v>
      </c>
      <c r="C14" s="10">
        <v>39080.22</v>
      </c>
      <c r="D14" s="98">
        <v>43280.14</v>
      </c>
      <c r="E14" s="57">
        <f t="shared" si="0"/>
        <v>4199.919999999998</v>
      </c>
    </row>
    <row r="15" spans="1:5" ht="12.75">
      <c r="A15" s="84">
        <v>5</v>
      </c>
      <c r="B15" s="5" t="s">
        <v>1061</v>
      </c>
      <c r="C15" s="10">
        <f>3500+2400+3600</f>
        <v>9500</v>
      </c>
      <c r="D15" s="98">
        <f>4200+2400+3300</f>
        <v>9900</v>
      </c>
      <c r="E15" s="57">
        <f t="shared" si="0"/>
        <v>400</v>
      </c>
    </row>
    <row r="16" spans="1:5" ht="12.75">
      <c r="A16" s="84">
        <v>6</v>
      </c>
      <c r="B16" s="105" t="s">
        <v>1087</v>
      </c>
      <c r="C16" s="10">
        <v>18041.6</v>
      </c>
      <c r="D16" s="98">
        <v>19319.46</v>
      </c>
      <c r="E16" s="57">
        <f t="shared" si="0"/>
        <v>1277.8600000000006</v>
      </c>
    </row>
    <row r="17" spans="1:5" ht="12.75" customHeight="1" thickBot="1">
      <c r="A17" s="261">
        <v>7</v>
      </c>
      <c r="B17" s="276" t="s">
        <v>1088</v>
      </c>
      <c r="C17" s="142">
        <v>9938.87</v>
      </c>
      <c r="D17" s="142">
        <v>9938.87</v>
      </c>
      <c r="E17" s="222">
        <f t="shared" si="0"/>
        <v>0</v>
      </c>
    </row>
    <row r="18" spans="1:5" ht="13.5" thickBot="1">
      <c r="A18" s="250"/>
      <c r="B18" s="251"/>
      <c r="C18" s="118">
        <f>SUM(C11:C17)</f>
        <v>448017.11</v>
      </c>
      <c r="D18" s="118">
        <f>SUM(D11:D17)</f>
        <v>472620.77</v>
      </c>
      <c r="E18" s="137">
        <f>SUM(E11:E17)</f>
        <v>24603.660000000003</v>
      </c>
    </row>
    <row r="19" spans="1:5" ht="12.75">
      <c r="A19" s="385" t="s">
        <v>793</v>
      </c>
      <c r="B19" s="386"/>
      <c r="C19" s="386"/>
      <c r="D19" s="386"/>
      <c r="E19" s="108">
        <f>E130</f>
        <v>104113.54000000002</v>
      </c>
    </row>
    <row r="20" spans="1:5" ht="12.75">
      <c r="A20" s="387" t="s">
        <v>794</v>
      </c>
      <c r="B20" s="384"/>
      <c r="C20" s="384"/>
      <c r="D20" s="384"/>
      <c r="E20" s="22">
        <v>229012.1</v>
      </c>
    </row>
    <row r="21" spans="1:2" ht="12.75">
      <c r="A21" s="37"/>
      <c r="B21" s="3" t="s">
        <v>217</v>
      </c>
    </row>
    <row r="22" spans="1:2" ht="13.5" thickBot="1">
      <c r="A22" s="37"/>
      <c r="B22" s="30" t="s">
        <v>964</v>
      </c>
    </row>
    <row r="23" spans="1:5" ht="12.75">
      <c r="A23" s="86">
        <v>1</v>
      </c>
      <c r="B23" s="64" t="s">
        <v>446</v>
      </c>
      <c r="C23" s="80">
        <f>C62</f>
        <v>178483.4</v>
      </c>
      <c r="E23" s="29"/>
    </row>
    <row r="24" spans="1:5" ht="12.75">
      <c r="A24" s="91">
        <v>2</v>
      </c>
      <c r="B24" s="25" t="s">
        <v>344</v>
      </c>
      <c r="C24" s="102">
        <f>C69</f>
        <v>8407.95</v>
      </c>
      <c r="D24" s="388"/>
      <c r="E24" s="389"/>
    </row>
    <row r="25" spans="1:5" ht="12.75">
      <c r="A25" s="84">
        <v>3</v>
      </c>
      <c r="B25" s="9" t="s">
        <v>649</v>
      </c>
      <c r="C25" s="48">
        <v>3060.81</v>
      </c>
      <c r="E25" s="29"/>
    </row>
    <row r="26" spans="1:5" ht="12.75">
      <c r="A26" s="84">
        <v>4</v>
      </c>
      <c r="B26" s="9" t="s">
        <v>122</v>
      </c>
      <c r="C26" s="48">
        <f>(C8*0.55*12)</f>
        <v>13217.16</v>
      </c>
      <c r="E26" s="29"/>
    </row>
    <row r="27" spans="1:5" ht="12.75">
      <c r="A27" s="84">
        <v>5</v>
      </c>
      <c r="B27" s="9" t="s">
        <v>658</v>
      </c>
      <c r="C27" s="79">
        <v>35412</v>
      </c>
      <c r="E27" s="29"/>
    </row>
    <row r="28" spans="1:5" ht="12.75">
      <c r="A28" s="91">
        <v>6</v>
      </c>
      <c r="B28" s="25" t="s">
        <v>61</v>
      </c>
      <c r="C28" s="96">
        <v>2400</v>
      </c>
      <c r="E28" s="29"/>
    </row>
    <row r="29" spans="1:5" ht="12.75">
      <c r="A29" s="91">
        <v>7</v>
      </c>
      <c r="B29" s="25" t="s">
        <v>1094</v>
      </c>
      <c r="C29" s="96">
        <v>19700.98</v>
      </c>
      <c r="E29" s="29"/>
    </row>
    <row r="30" spans="1:5" ht="12.75">
      <c r="A30" s="91">
        <v>8</v>
      </c>
      <c r="B30" s="346" t="s">
        <v>26</v>
      </c>
      <c r="C30" s="96">
        <v>600</v>
      </c>
      <c r="E30" s="29"/>
    </row>
    <row r="31" spans="1:5" ht="25.5">
      <c r="A31" s="91">
        <v>9</v>
      </c>
      <c r="B31" s="25" t="s">
        <v>60</v>
      </c>
      <c r="C31" s="96">
        <v>10700</v>
      </c>
      <c r="E31" s="29"/>
    </row>
    <row r="32" spans="1:5" ht="25.5">
      <c r="A32" s="91">
        <v>10</v>
      </c>
      <c r="B32" s="25" t="s">
        <v>327</v>
      </c>
      <c r="C32" s="96">
        <v>3193.32</v>
      </c>
      <c r="E32" s="29"/>
    </row>
    <row r="33" spans="1:5" ht="12.75">
      <c r="A33" s="91">
        <v>11</v>
      </c>
      <c r="B33" s="25" t="s">
        <v>1175</v>
      </c>
      <c r="C33" s="349">
        <v>3642.38</v>
      </c>
      <c r="E33" s="29"/>
    </row>
    <row r="34" spans="1:5" ht="38.25">
      <c r="A34" s="91">
        <v>12</v>
      </c>
      <c r="B34" s="25" t="s">
        <v>852</v>
      </c>
      <c r="C34" s="349">
        <v>2791.4</v>
      </c>
      <c r="E34" s="29"/>
    </row>
    <row r="35" spans="1:3" ht="12.75">
      <c r="A35" s="50"/>
      <c r="B35" s="20" t="s">
        <v>629</v>
      </c>
      <c r="C35" s="51">
        <f>SUM(C23:C34)</f>
        <v>281609.4000000001</v>
      </c>
    </row>
    <row r="36" spans="1:3" ht="12.75">
      <c r="A36" s="49"/>
      <c r="B36" s="8" t="s">
        <v>965</v>
      </c>
      <c r="C36" s="45"/>
    </row>
    <row r="37" spans="1:3" ht="12.75">
      <c r="A37" s="84">
        <v>1</v>
      </c>
      <c r="B37" s="9" t="s">
        <v>228</v>
      </c>
      <c r="C37" s="48">
        <f>(C18)*15%</f>
        <v>67202.5665</v>
      </c>
    </row>
    <row r="38" spans="1:3" ht="12.75">
      <c r="A38" s="84">
        <v>2</v>
      </c>
      <c r="B38" s="9" t="s">
        <v>813</v>
      </c>
      <c r="C38" s="48">
        <f>C75</f>
        <v>4337.3428339170405</v>
      </c>
    </row>
    <row r="39" spans="1:3" ht="12.75">
      <c r="A39" s="84">
        <v>3</v>
      </c>
      <c r="B39" s="9" t="s">
        <v>653</v>
      </c>
      <c r="C39" s="48">
        <f>C76</f>
        <v>4710.996998396908</v>
      </c>
    </row>
    <row r="40" spans="1:3" ht="12.75">
      <c r="A40" s="84">
        <v>4</v>
      </c>
      <c r="B40" s="9" t="s">
        <v>1114</v>
      </c>
      <c r="C40" s="52">
        <f>C77</f>
        <v>9563.512263563563</v>
      </c>
    </row>
    <row r="41" spans="1:3" ht="12.75">
      <c r="A41" s="84">
        <v>5</v>
      </c>
      <c r="B41" s="9" t="s">
        <v>162</v>
      </c>
      <c r="C41" s="52">
        <f>C78</f>
        <v>6987.931513613958</v>
      </c>
    </row>
    <row r="42" spans="1:3" ht="12.75">
      <c r="A42" s="84">
        <v>6</v>
      </c>
      <c r="B42" s="9" t="s">
        <v>1051</v>
      </c>
      <c r="C42" s="48">
        <f>C79+C81+C82+C83+C80</f>
        <v>11858.490236564572</v>
      </c>
    </row>
    <row r="43" spans="1:3" ht="12.75">
      <c r="A43" s="49"/>
      <c r="B43" s="74" t="s">
        <v>809</v>
      </c>
      <c r="C43" s="53"/>
    </row>
    <row r="44" spans="1:3" ht="12.75">
      <c r="A44" s="49"/>
      <c r="B44" s="5" t="s">
        <v>655</v>
      </c>
      <c r="C44" s="53"/>
    </row>
    <row r="45" spans="1:3" ht="12.75">
      <c r="A45" s="49"/>
      <c r="B45" s="74" t="s">
        <v>656</v>
      </c>
      <c r="C45" s="53"/>
    </row>
    <row r="46" spans="1:3" ht="12.75">
      <c r="A46" s="49"/>
      <c r="B46" s="74" t="s">
        <v>808</v>
      </c>
      <c r="C46" s="53"/>
    </row>
    <row r="47" spans="1:3" ht="12.75">
      <c r="A47" s="50"/>
      <c r="B47" s="20" t="s">
        <v>629</v>
      </c>
      <c r="C47" s="51">
        <f>C37+C38+C39+C40+C41+C42</f>
        <v>104660.84034605604</v>
      </c>
    </row>
    <row r="48" spans="1:3" ht="12.75">
      <c r="A48" s="49"/>
      <c r="B48" s="7" t="s">
        <v>966</v>
      </c>
      <c r="C48" s="45"/>
    </row>
    <row r="49" spans="1:3" ht="12.75">
      <c r="A49" s="84">
        <v>1</v>
      </c>
      <c r="B49" s="9" t="s">
        <v>631</v>
      </c>
      <c r="C49" s="48">
        <f>C18*2%</f>
        <v>8960.3422</v>
      </c>
    </row>
    <row r="50" spans="1:3" ht="12.75">
      <c r="A50" s="84">
        <v>2</v>
      </c>
      <c r="B50" s="9" t="s">
        <v>391</v>
      </c>
      <c r="C50" s="48">
        <f>C51</f>
        <v>26343.406067999997</v>
      </c>
    </row>
    <row r="51" spans="1:4" ht="12.75">
      <c r="A51" s="49"/>
      <c r="B51" s="5" t="s">
        <v>334</v>
      </c>
      <c r="C51" s="41">
        <f>(C18-C49)*6%</f>
        <v>26343.406067999997</v>
      </c>
      <c r="D51" s="19"/>
    </row>
    <row r="52" spans="1:3" ht="13.5" thickBot="1">
      <c r="A52" s="54"/>
      <c r="B52" s="55" t="s">
        <v>967</v>
      </c>
      <c r="C52" s="56">
        <f>C49+C50</f>
        <v>35303.748267999996</v>
      </c>
    </row>
    <row r="53" spans="1:3" ht="12.75">
      <c r="A53" s="23"/>
      <c r="B53" s="4" t="s">
        <v>288</v>
      </c>
      <c r="C53" s="11">
        <f>C35+C47+C52</f>
        <v>421573.98861405614</v>
      </c>
    </row>
    <row r="54" spans="1:3" ht="12.75">
      <c r="A54" s="23"/>
      <c r="B54" s="77"/>
      <c r="C54" s="1"/>
    </row>
    <row r="55" spans="1:3" ht="15">
      <c r="A55" s="23"/>
      <c r="B55" s="14" t="s">
        <v>812</v>
      </c>
      <c r="C55" s="11">
        <v>195501.93</v>
      </c>
    </row>
    <row r="56" spans="1:3" ht="15">
      <c r="A56" s="23"/>
      <c r="B56" s="14" t="s">
        <v>180</v>
      </c>
      <c r="C56" s="11">
        <f>C53+C55-C18</f>
        <v>169058.8086140562</v>
      </c>
    </row>
    <row r="57" ht="12.75">
      <c r="B57" s="1" t="s">
        <v>85</v>
      </c>
    </row>
    <row r="58" ht="17.25" customHeight="1">
      <c r="B58" s="1" t="s">
        <v>1197</v>
      </c>
    </row>
    <row r="59" spans="1:4" ht="12.75">
      <c r="A59" s="2"/>
      <c r="B59" s="2"/>
      <c r="C59" s="2" t="s">
        <v>790</v>
      </c>
      <c r="D59" s="2"/>
    </row>
    <row r="60" spans="1:4" ht="12.75">
      <c r="A60" s="2"/>
      <c r="B60" s="2"/>
      <c r="C60" s="2" t="s">
        <v>172</v>
      </c>
      <c r="D60" s="2"/>
    </row>
    <row r="61" spans="1:5" ht="13.5" thickBot="1">
      <c r="A61" s="37"/>
      <c r="B61" s="37" t="s">
        <v>969</v>
      </c>
      <c r="C61" s="32" t="s">
        <v>886</v>
      </c>
      <c r="D61" s="114">
        <f>C8</f>
        <v>2002.6</v>
      </c>
      <c r="E61" t="s">
        <v>116</v>
      </c>
    </row>
    <row r="62" spans="1:5" ht="12.75">
      <c r="A62" s="60" t="s">
        <v>218</v>
      </c>
      <c r="B62" s="39" t="s">
        <v>832</v>
      </c>
      <c r="C62" s="47">
        <v>178483.4</v>
      </c>
      <c r="D62" s="15"/>
      <c r="E62" s="21"/>
    </row>
    <row r="63" spans="1:5" ht="12.75">
      <c r="A63" s="61"/>
      <c r="B63" s="6" t="s">
        <v>118</v>
      </c>
      <c r="C63" s="41"/>
      <c r="D63" s="15"/>
      <c r="E63" s="21"/>
    </row>
    <row r="64" spans="1:5" ht="12.75">
      <c r="A64" s="62" t="s">
        <v>166</v>
      </c>
      <c r="B64" s="6" t="s">
        <v>380</v>
      </c>
      <c r="C64" s="41">
        <v>6614.8</v>
      </c>
      <c r="D64" s="15"/>
      <c r="E64" s="15"/>
    </row>
    <row r="65" spans="1:5" ht="12.75">
      <c r="A65" s="62" t="s">
        <v>166</v>
      </c>
      <c r="B65" s="6" t="s">
        <v>754</v>
      </c>
      <c r="C65" s="41">
        <v>1230</v>
      </c>
      <c r="D65" s="15"/>
      <c r="E65" s="15"/>
    </row>
    <row r="66" spans="1:5" ht="12.75">
      <c r="A66" s="62" t="s">
        <v>166</v>
      </c>
      <c r="B66" s="6" t="s">
        <v>277</v>
      </c>
      <c r="C66" s="41">
        <v>3400</v>
      </c>
      <c r="D66" s="15"/>
      <c r="E66" s="15"/>
    </row>
    <row r="67" spans="1:5" ht="12.75">
      <c r="A67" s="62" t="s">
        <v>166</v>
      </c>
      <c r="B67" s="6" t="s">
        <v>371</v>
      </c>
      <c r="C67" s="41">
        <v>21214.46</v>
      </c>
      <c r="D67" s="15"/>
      <c r="E67" s="15"/>
    </row>
    <row r="68" spans="1:5" ht="13.5" thickBot="1">
      <c r="A68" s="63" t="s">
        <v>166</v>
      </c>
      <c r="B68" s="42" t="s">
        <v>818</v>
      </c>
      <c r="C68" s="46">
        <v>136.47</v>
      </c>
      <c r="D68" s="15"/>
      <c r="E68" s="15"/>
    </row>
    <row r="69" spans="1:5" ht="12.75">
      <c r="A69" s="60" t="s">
        <v>328</v>
      </c>
      <c r="B69" s="39" t="s">
        <v>343</v>
      </c>
      <c r="C69" s="47">
        <v>8407.95</v>
      </c>
      <c r="D69" s="15"/>
      <c r="E69" s="12"/>
    </row>
    <row r="70" spans="1:5" ht="12.75">
      <c r="A70" s="61"/>
      <c r="B70" s="6" t="s">
        <v>118</v>
      </c>
      <c r="C70" s="41"/>
      <c r="D70" s="15"/>
      <c r="E70" s="12"/>
    </row>
    <row r="71" spans="1:5" ht="12.75">
      <c r="A71" s="62" t="s">
        <v>166</v>
      </c>
      <c r="B71" s="6" t="s">
        <v>380</v>
      </c>
      <c r="C71" s="41">
        <v>1013</v>
      </c>
      <c r="D71" s="15"/>
      <c r="E71" s="12"/>
    </row>
    <row r="72" spans="1:5" ht="13.5" thickBot="1">
      <c r="A72" s="63" t="s">
        <v>166</v>
      </c>
      <c r="B72" s="42" t="s">
        <v>818</v>
      </c>
      <c r="C72" s="46">
        <v>114.51</v>
      </c>
      <c r="D72" s="15"/>
      <c r="E72" s="15"/>
    </row>
    <row r="73" spans="1:5" ht="12.75">
      <c r="A73" s="300" t="s">
        <v>787</v>
      </c>
      <c r="B73" s="97" t="s">
        <v>1050</v>
      </c>
      <c r="C73" s="82">
        <f>C74+C75+C77+C76+C78+C79+C81+C82+C83+C80</f>
        <v>104660.84034605605</v>
      </c>
      <c r="D73" s="15"/>
      <c r="E73" s="12"/>
    </row>
    <row r="74" spans="1:5" ht="13.5" thickBot="1">
      <c r="A74" s="40" t="s">
        <v>166</v>
      </c>
      <c r="B74" s="6" t="s">
        <v>227</v>
      </c>
      <c r="C74" s="41">
        <f>C37</f>
        <v>67202.5665</v>
      </c>
      <c r="D74" s="15"/>
      <c r="E74" s="12"/>
    </row>
    <row r="75" spans="1:5" ht="12.75">
      <c r="A75" s="40" t="s">
        <v>166</v>
      </c>
      <c r="B75" s="6" t="s">
        <v>370</v>
      </c>
      <c r="C75" s="317">
        <f>401410.25/185335.63*C8</f>
        <v>4337.3428339170405</v>
      </c>
      <c r="D75" s="375" t="s">
        <v>843</v>
      </c>
      <c r="E75" s="376"/>
    </row>
    <row r="76" spans="1:5" ht="12.75">
      <c r="A76" s="73" t="s">
        <v>166</v>
      </c>
      <c r="B76" s="74" t="s">
        <v>397</v>
      </c>
      <c r="C76" s="317">
        <f>435991.01/185335.63*C8</f>
        <v>4710.996998396908</v>
      </c>
      <c r="D76" s="377" t="s">
        <v>844</v>
      </c>
      <c r="E76" s="378"/>
    </row>
    <row r="77" spans="1:5" ht="12.75">
      <c r="A77" s="71" t="s">
        <v>166</v>
      </c>
      <c r="B77" s="72" t="s">
        <v>416</v>
      </c>
      <c r="C77" s="317">
        <f>1082167/226605.83*C8</f>
        <v>9563.512263563563</v>
      </c>
      <c r="D77" s="379" t="s">
        <v>845</v>
      </c>
      <c r="E77" s="380"/>
    </row>
    <row r="78" spans="1:5" ht="25.5">
      <c r="A78" s="73" t="s">
        <v>166</v>
      </c>
      <c r="B78" s="72" t="s">
        <v>231</v>
      </c>
      <c r="C78" s="318">
        <f>845684.35/242356.05*D61</f>
        <v>6987.931513613958</v>
      </c>
      <c r="D78" s="381" t="s">
        <v>846</v>
      </c>
      <c r="E78" s="382"/>
    </row>
    <row r="79" spans="1:5" ht="12.75">
      <c r="A79" s="73" t="s">
        <v>166</v>
      </c>
      <c r="B79" s="74" t="s">
        <v>808</v>
      </c>
      <c r="C79" s="318">
        <f>642562.44/242356.05*D61</f>
        <v>5309.525148408715</v>
      </c>
      <c r="D79" s="371" t="s">
        <v>847</v>
      </c>
      <c r="E79" s="372"/>
    </row>
    <row r="80" spans="1:5" ht="12.75">
      <c r="A80" s="73" t="s">
        <v>166</v>
      </c>
      <c r="B80" s="74" t="s">
        <v>826</v>
      </c>
      <c r="C80" s="318">
        <f>51615/196822.43*D61</f>
        <v>525.1647335113178</v>
      </c>
      <c r="D80" s="371" t="s">
        <v>848</v>
      </c>
      <c r="E80" s="372"/>
    </row>
    <row r="81" spans="1:5" ht="12.75">
      <c r="A81" s="73" t="s">
        <v>166</v>
      </c>
      <c r="B81" s="74" t="s">
        <v>655</v>
      </c>
      <c r="C81" s="318">
        <f>129011.28/196822.43*D61</f>
        <v>1312.645054367025</v>
      </c>
      <c r="D81" s="371" t="s">
        <v>849</v>
      </c>
      <c r="E81" s="372"/>
    </row>
    <row r="82" spans="1:5" ht="12.75">
      <c r="A82" s="73" t="s">
        <v>166</v>
      </c>
      <c r="B82" s="74" t="s">
        <v>656</v>
      </c>
      <c r="C82" s="318">
        <f>164128/196822.43*D61</f>
        <v>1669.9455077350685</v>
      </c>
      <c r="D82" s="373" t="s">
        <v>850</v>
      </c>
      <c r="E82" s="374"/>
    </row>
    <row r="83" spans="1:5" ht="13.5" thickBot="1">
      <c r="A83" s="75" t="s">
        <v>166</v>
      </c>
      <c r="B83" s="76" t="s">
        <v>809</v>
      </c>
      <c r="C83" s="319">
        <f>298900.58/196822.43*D61</f>
        <v>3041.2097925424455</v>
      </c>
      <c r="D83" s="369" t="s">
        <v>851</v>
      </c>
      <c r="E83" s="370"/>
    </row>
    <row r="84" ht="13.5" thickBot="1"/>
    <row r="85" spans="2:5" ht="24.75" thickBot="1">
      <c r="B85" s="143"/>
      <c r="C85" s="159" t="s">
        <v>104</v>
      </c>
      <c r="D85" s="161" t="s">
        <v>306</v>
      </c>
      <c r="E85" s="160" t="s">
        <v>1115</v>
      </c>
    </row>
    <row r="86" spans="2:5" ht="13.5" thickBot="1">
      <c r="B86" s="363" t="s">
        <v>1196</v>
      </c>
      <c r="C86" s="364"/>
      <c r="D86" s="364"/>
      <c r="E86" s="365"/>
    </row>
    <row r="87" spans="2:5" ht="12.75">
      <c r="B87" s="180" t="s">
        <v>285</v>
      </c>
      <c r="C87" s="163">
        <v>108542.75</v>
      </c>
      <c r="D87" s="184">
        <v>140158.66</v>
      </c>
      <c r="E87" s="163">
        <f>D87-C87</f>
        <v>31615.910000000003</v>
      </c>
    </row>
    <row r="88" spans="2:5" ht="12.75">
      <c r="B88" s="181" t="s">
        <v>637</v>
      </c>
      <c r="C88" s="183">
        <v>68999.07</v>
      </c>
      <c r="D88" s="185">
        <v>81119.52</v>
      </c>
      <c r="E88" s="183">
        <f>D88-C88</f>
        <v>12120.449999999997</v>
      </c>
    </row>
    <row r="89" spans="2:5" ht="13.5" thickBot="1">
      <c r="B89" s="182" t="s">
        <v>113</v>
      </c>
      <c r="C89" s="165">
        <v>4178.31</v>
      </c>
      <c r="D89" s="186">
        <v>6000</v>
      </c>
      <c r="E89" s="165">
        <f>D89-C89</f>
        <v>1821.6899999999996</v>
      </c>
    </row>
    <row r="90" spans="2:5" ht="13.5" thickBot="1">
      <c r="B90" s="177"/>
      <c r="C90" s="179">
        <f>SUM(C87:C89)</f>
        <v>181720.13</v>
      </c>
      <c r="D90" s="179">
        <f>SUM(D87:D89)</f>
        <v>227278.18</v>
      </c>
      <c r="E90" s="179">
        <f>SUM(E87:E89)</f>
        <v>45558.05</v>
      </c>
    </row>
    <row r="91" spans="2:5" ht="13.5" thickBot="1">
      <c r="B91" s="363" t="s">
        <v>804</v>
      </c>
      <c r="C91" s="364"/>
      <c r="D91" s="364"/>
      <c r="E91" s="365"/>
    </row>
    <row r="92" spans="2:5" ht="12.75">
      <c r="B92" s="180" t="s">
        <v>285</v>
      </c>
      <c r="C92" s="195">
        <v>176711.33</v>
      </c>
      <c r="D92" s="193">
        <v>185981.4</v>
      </c>
      <c r="E92" s="171">
        <f>D92-C92</f>
        <v>9270.070000000007</v>
      </c>
    </row>
    <row r="93" spans="2:5" ht="12.75">
      <c r="B93" s="181" t="s">
        <v>637</v>
      </c>
      <c r="C93" s="196">
        <v>90481.5</v>
      </c>
      <c r="D93" s="194">
        <v>93710.63</v>
      </c>
      <c r="E93" s="166">
        <f>D93-C93</f>
        <v>3229.1300000000047</v>
      </c>
    </row>
    <row r="94" spans="2:5" ht="12.75">
      <c r="B94" s="181" t="s">
        <v>651</v>
      </c>
      <c r="C94" s="191">
        <v>1717.71</v>
      </c>
      <c r="D94" s="189">
        <v>2856.15</v>
      </c>
      <c r="E94" s="166">
        <f>D94-C94</f>
        <v>1138.44</v>
      </c>
    </row>
    <row r="95" spans="2:5" ht="13.5" thickBot="1">
      <c r="B95" s="182" t="s">
        <v>652</v>
      </c>
      <c r="C95" s="192">
        <v>1693.8</v>
      </c>
      <c r="D95" s="190">
        <v>0</v>
      </c>
      <c r="E95" s="178">
        <f>D95-C95</f>
        <v>-1693.8</v>
      </c>
    </row>
    <row r="96" spans="2:5" ht="13.5" thickBot="1">
      <c r="B96" s="187"/>
      <c r="C96" s="188">
        <f>SUM(C92:C95)</f>
        <v>270604.33999999997</v>
      </c>
      <c r="D96" s="174">
        <f>SUM(D92:D95)</f>
        <v>282548.18000000005</v>
      </c>
      <c r="E96" s="174">
        <f>SUM(E92:E95)</f>
        <v>11943.840000000013</v>
      </c>
    </row>
    <row r="97" spans="2:5" ht="13.5" thickBot="1">
      <c r="B97" s="363" t="s">
        <v>382</v>
      </c>
      <c r="C97" s="364"/>
      <c r="D97" s="364"/>
      <c r="E97" s="365"/>
    </row>
    <row r="98" spans="2:5" ht="12.75">
      <c r="B98" s="140" t="s">
        <v>285</v>
      </c>
      <c r="C98" s="212">
        <v>195922.35</v>
      </c>
      <c r="D98" s="223">
        <v>208900.92</v>
      </c>
      <c r="E98" s="242">
        <f>D98-C98</f>
        <v>12978.570000000007</v>
      </c>
    </row>
    <row r="99" spans="2:5" ht="12.75">
      <c r="B99" s="115" t="s">
        <v>637</v>
      </c>
      <c r="C99" s="18">
        <v>94621.64</v>
      </c>
      <c r="D99" s="18">
        <v>101569.07</v>
      </c>
      <c r="E99" s="57">
        <f>D99-C99</f>
        <v>6947.430000000008</v>
      </c>
    </row>
    <row r="100" spans="2:5" ht="25.5">
      <c r="B100" s="269" t="s">
        <v>1046</v>
      </c>
      <c r="C100" s="112">
        <v>2500</v>
      </c>
      <c r="D100" s="111">
        <v>2500</v>
      </c>
      <c r="E100" s="128">
        <f>D100-C100</f>
        <v>0</v>
      </c>
    </row>
    <row r="101" spans="2:5" ht="13.5" thickBot="1">
      <c r="B101" s="156" t="s">
        <v>384</v>
      </c>
      <c r="C101" s="267">
        <v>14748.6</v>
      </c>
      <c r="D101" s="224">
        <v>17994.88</v>
      </c>
      <c r="E101" s="222">
        <f>D101-C101</f>
        <v>3246.2800000000007</v>
      </c>
    </row>
    <row r="102" spans="2:5" ht="13.5" thickBot="1">
      <c r="B102" s="177"/>
      <c r="C102" s="217">
        <f>SUM(C98:C101)</f>
        <v>307792.58999999997</v>
      </c>
      <c r="D102" s="217">
        <f>SUM(D98:D101)</f>
        <v>330964.87</v>
      </c>
      <c r="E102" s="217">
        <f>SUM(E98:E101)</f>
        <v>23172.280000000013</v>
      </c>
    </row>
    <row r="103" spans="2:5" ht="13.5" thickBot="1">
      <c r="B103" s="363" t="s">
        <v>1058</v>
      </c>
      <c r="C103" s="364"/>
      <c r="D103" s="364"/>
      <c r="E103" s="365"/>
    </row>
    <row r="104" spans="2:5" ht="12.75">
      <c r="B104" s="140" t="s">
        <v>285</v>
      </c>
      <c r="C104" s="141">
        <v>231629</v>
      </c>
      <c r="D104" s="155">
        <v>222649.07</v>
      </c>
      <c r="E104" s="242">
        <f aca="true" t="shared" si="1" ref="E104:E110">D104-C104</f>
        <v>-8979.929999999993</v>
      </c>
    </row>
    <row r="105" spans="2:5" ht="12.75">
      <c r="B105" s="115" t="s">
        <v>637</v>
      </c>
      <c r="C105" s="5">
        <v>113963.8</v>
      </c>
      <c r="D105" s="33">
        <v>108260.56</v>
      </c>
      <c r="E105" s="57">
        <f t="shared" si="1"/>
        <v>-5703.240000000005</v>
      </c>
    </row>
    <row r="106" spans="2:5" ht="12.75">
      <c r="B106" s="115" t="s">
        <v>633</v>
      </c>
      <c r="C106" s="5">
        <v>26666.21</v>
      </c>
      <c r="D106" s="34">
        <v>26211.84</v>
      </c>
      <c r="E106" s="128">
        <f t="shared" si="1"/>
        <v>-454.369999999999</v>
      </c>
    </row>
    <row r="107" spans="2:5" ht="12.75">
      <c r="B107" s="115" t="s">
        <v>1200</v>
      </c>
      <c r="C107" s="67">
        <v>15955.42</v>
      </c>
      <c r="D107" s="83">
        <v>15955.42</v>
      </c>
      <c r="E107" s="128">
        <f t="shared" si="1"/>
        <v>0</v>
      </c>
    </row>
    <row r="108" spans="2:5" ht="12.75">
      <c r="B108" s="116" t="s">
        <v>364</v>
      </c>
      <c r="C108" s="65">
        <v>8903.93</v>
      </c>
      <c r="D108" s="83">
        <v>11102.58</v>
      </c>
      <c r="E108" s="57">
        <f t="shared" si="1"/>
        <v>2198.6499999999996</v>
      </c>
    </row>
    <row r="109" spans="2:5" ht="12.75">
      <c r="B109" s="116" t="s">
        <v>113</v>
      </c>
      <c r="C109" s="65">
        <v>922.91</v>
      </c>
      <c r="D109" s="83">
        <v>0</v>
      </c>
      <c r="E109" s="128">
        <f t="shared" si="1"/>
        <v>-922.91</v>
      </c>
    </row>
    <row r="110" spans="2:5" ht="26.25" thickBot="1">
      <c r="B110" s="156" t="s">
        <v>939</v>
      </c>
      <c r="C110" s="274">
        <v>3500</v>
      </c>
      <c r="D110" s="319">
        <v>3500</v>
      </c>
      <c r="E110" s="222">
        <f t="shared" si="1"/>
        <v>0</v>
      </c>
    </row>
    <row r="111" spans="2:5" ht="13.5" thickBot="1">
      <c r="B111" s="177"/>
      <c r="C111" s="217">
        <f>SUM(C104:C110)</f>
        <v>401541.26999999996</v>
      </c>
      <c r="D111" s="217">
        <f>SUM(D104:D110)</f>
        <v>387679.47000000003</v>
      </c>
      <c r="E111" s="217">
        <f>SUM(E104:E110)</f>
        <v>-13861.799999999997</v>
      </c>
    </row>
    <row r="112" spans="2:5" ht="13.5" thickBot="1">
      <c r="B112" s="363" t="s">
        <v>823</v>
      </c>
      <c r="C112" s="364"/>
      <c r="D112" s="364"/>
      <c r="E112" s="365"/>
    </row>
    <row r="113" spans="2:5" ht="12.75">
      <c r="B113" s="140" t="s">
        <v>285</v>
      </c>
      <c r="C113" s="141">
        <v>116590.31</v>
      </c>
      <c r="D113" s="155">
        <v>118113.48</v>
      </c>
      <c r="E113" s="242">
        <f aca="true" t="shared" si="2" ref="E113:E118">D113-C113</f>
        <v>1523.1699999999983</v>
      </c>
    </row>
    <row r="114" spans="2:5" ht="12.75">
      <c r="B114" s="115" t="s">
        <v>637</v>
      </c>
      <c r="C114" s="5">
        <v>56899.48</v>
      </c>
      <c r="D114" s="33">
        <v>57434.34</v>
      </c>
      <c r="E114" s="57">
        <f t="shared" si="2"/>
        <v>534.8599999999933</v>
      </c>
    </row>
    <row r="115" spans="2:5" ht="12.75">
      <c r="B115" s="115" t="s">
        <v>633</v>
      </c>
      <c r="C115" s="65">
        <v>16195.64</v>
      </c>
      <c r="D115" s="70">
        <v>16092.2</v>
      </c>
      <c r="E115" s="57">
        <f t="shared" si="2"/>
        <v>-103.43999999999869</v>
      </c>
    </row>
    <row r="116" spans="2:5" ht="12.75">
      <c r="B116" s="116" t="s">
        <v>364</v>
      </c>
      <c r="C116" s="94">
        <v>56089.34</v>
      </c>
      <c r="D116" s="83">
        <v>66615.48</v>
      </c>
      <c r="E116" s="57">
        <f t="shared" si="2"/>
        <v>10526.14</v>
      </c>
    </row>
    <row r="117" spans="2:5" ht="12.75">
      <c r="B117" s="116" t="s">
        <v>415</v>
      </c>
      <c r="C117" s="94">
        <v>283.22</v>
      </c>
      <c r="D117" s="83">
        <v>0</v>
      </c>
      <c r="E117" s="57">
        <f t="shared" si="2"/>
        <v>-283.22</v>
      </c>
    </row>
    <row r="118" spans="2:5" ht="13.5" thickBot="1">
      <c r="B118" s="156" t="s">
        <v>792</v>
      </c>
      <c r="C118" s="229">
        <v>3850</v>
      </c>
      <c r="D118" s="229">
        <v>4350</v>
      </c>
      <c r="E118" s="219">
        <f t="shared" si="2"/>
        <v>500</v>
      </c>
    </row>
    <row r="119" spans="2:5" ht="13.5" thickBot="1">
      <c r="B119" s="177"/>
      <c r="C119" s="217">
        <f>SUM(C113:C118)</f>
        <v>249907.99</v>
      </c>
      <c r="D119" s="217">
        <f>SUM(D113:D118)</f>
        <v>262605.5</v>
      </c>
      <c r="E119" s="217">
        <f>SUM(E113:E118)</f>
        <v>12697.509999999993</v>
      </c>
    </row>
    <row r="120" spans="2:5" ht="13.5" thickBot="1">
      <c r="B120" s="363" t="s">
        <v>87</v>
      </c>
      <c r="C120" s="364"/>
      <c r="D120" s="364"/>
      <c r="E120" s="365"/>
    </row>
    <row r="121" spans="2:5" ht="12.75">
      <c r="B121" s="140" t="s">
        <v>285</v>
      </c>
      <c r="C121" s="234">
        <v>229823.59</v>
      </c>
      <c r="D121" s="218">
        <v>244441.93</v>
      </c>
      <c r="E121" s="242">
        <f aca="true" t="shared" si="3" ref="E121:E127">D121-C121</f>
        <v>14618.339999999997</v>
      </c>
    </row>
    <row r="122" spans="2:5" ht="12.75">
      <c r="B122" s="115" t="s">
        <v>637</v>
      </c>
      <c r="C122" s="10">
        <v>113120.51</v>
      </c>
      <c r="D122" s="98">
        <v>121718.52</v>
      </c>
      <c r="E122" s="57">
        <f t="shared" si="3"/>
        <v>8598.01000000001</v>
      </c>
    </row>
    <row r="123" spans="2:5" ht="12.75">
      <c r="B123" s="115" t="s">
        <v>364</v>
      </c>
      <c r="C123" s="10">
        <v>28512.32</v>
      </c>
      <c r="D123" s="98">
        <v>24021.85</v>
      </c>
      <c r="E123" s="57">
        <f t="shared" si="3"/>
        <v>-4490.470000000001</v>
      </c>
    </row>
    <row r="124" spans="2:5" ht="12.75">
      <c r="B124" s="115" t="s">
        <v>633</v>
      </c>
      <c r="C124" s="10">
        <v>39080.22</v>
      </c>
      <c r="D124" s="98">
        <v>43280.14</v>
      </c>
      <c r="E124" s="57">
        <f t="shared" si="3"/>
        <v>4199.919999999998</v>
      </c>
    </row>
    <row r="125" spans="2:5" ht="12.75">
      <c r="B125" s="115" t="s">
        <v>1061</v>
      </c>
      <c r="C125" s="10">
        <f>3500+2400+3600</f>
        <v>9500</v>
      </c>
      <c r="D125" s="98">
        <f>4200+2400+3300</f>
        <v>9900</v>
      </c>
      <c r="E125" s="57">
        <f t="shared" si="3"/>
        <v>400</v>
      </c>
    </row>
    <row r="126" spans="2:5" ht="12.75">
      <c r="B126" s="269" t="s">
        <v>1087</v>
      </c>
      <c r="C126" s="10">
        <v>18041.6</v>
      </c>
      <c r="D126" s="98">
        <v>19319.46</v>
      </c>
      <c r="E126" s="57">
        <f t="shared" si="3"/>
        <v>1277.8600000000006</v>
      </c>
    </row>
    <row r="127" spans="2:5" ht="12.75" customHeight="1" thickBot="1">
      <c r="B127" s="266" t="s">
        <v>1088</v>
      </c>
      <c r="C127" s="142">
        <v>9938.87</v>
      </c>
      <c r="D127" s="142">
        <v>9938.87</v>
      </c>
      <c r="E127" s="219">
        <f t="shared" si="3"/>
        <v>0</v>
      </c>
    </row>
    <row r="128" spans="2:5" ht="13.5" thickBot="1">
      <c r="B128" s="177"/>
      <c r="C128" s="217">
        <f>SUM(C121:C127)</f>
        <v>448017.11</v>
      </c>
      <c r="D128" s="217">
        <f>SUM(D121:D127)</f>
        <v>472620.77</v>
      </c>
      <c r="E128" s="217">
        <f>SUM(E121:E127)</f>
        <v>24603.660000000003</v>
      </c>
    </row>
    <row r="129" spans="2:5" ht="13.5" thickBot="1">
      <c r="B129" s="366" t="s">
        <v>379</v>
      </c>
      <c r="C129" s="367"/>
      <c r="D129" s="367"/>
      <c r="E129" s="368"/>
    </row>
    <row r="130" spans="2:5" ht="13.5" thickBot="1">
      <c r="B130" s="153"/>
      <c r="C130" s="175">
        <f>C90+C96+C102+C111+C119+C128</f>
        <v>1859583.4299999997</v>
      </c>
      <c r="D130" s="175">
        <f>D90+D96+D102+D111+D119+D128</f>
        <v>1963696.97</v>
      </c>
      <c r="E130" s="175">
        <f>E90+E96+E102+E111+E119+E128</f>
        <v>104113.54000000002</v>
      </c>
    </row>
  </sheetData>
  <sheetProtection/>
  <mergeCells count="24">
    <mergeCell ref="A6:E6"/>
    <mergeCell ref="A19:D19"/>
    <mergeCell ref="A20:D20"/>
    <mergeCell ref="D24:E24"/>
    <mergeCell ref="A2:B2"/>
    <mergeCell ref="C2:E2"/>
    <mergeCell ref="C3:E3"/>
    <mergeCell ref="B4:E4"/>
    <mergeCell ref="D79:E79"/>
    <mergeCell ref="D80:E80"/>
    <mergeCell ref="D81:E81"/>
    <mergeCell ref="D82:E82"/>
    <mergeCell ref="D75:E75"/>
    <mergeCell ref="D76:E76"/>
    <mergeCell ref="D77:E77"/>
    <mergeCell ref="D78:E78"/>
    <mergeCell ref="B103:E103"/>
    <mergeCell ref="B112:E112"/>
    <mergeCell ref="B129:E129"/>
    <mergeCell ref="B120:E120"/>
    <mergeCell ref="D83:E83"/>
    <mergeCell ref="B86:E86"/>
    <mergeCell ref="B91:E91"/>
    <mergeCell ref="B97:E97"/>
  </mergeCells>
  <printOptions/>
  <pageMargins left="0.35433070866141736" right="0.2362204724409449" top="0.3937007874015748" bottom="0.35433070866141736" header="0.1968503937007874" footer="0.15748031496062992"/>
  <pageSetup fitToHeight="4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ДЭЗ№7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ДЭЗ№7</dc:creator>
  <cp:keywords/>
  <dc:description/>
  <cp:lastModifiedBy>777</cp:lastModifiedBy>
  <cp:lastPrinted>2013-04-12T01:51:46Z</cp:lastPrinted>
  <dcterms:created xsi:type="dcterms:W3CDTF">2007-04-06T04:01:43Z</dcterms:created>
  <dcterms:modified xsi:type="dcterms:W3CDTF">2013-04-12T02:07:28Z</dcterms:modified>
  <cp:category/>
  <cp:version/>
  <cp:contentType/>
  <cp:contentStatus/>
</cp:coreProperties>
</file>