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2120" windowHeight="8415" tabRatio="597" activeTab="0"/>
  </bookViews>
  <sheets>
    <sheet name="Костычева 27-1" sheetId="1" r:id="rId1"/>
    <sheet name="Костычева 27-2" sheetId="2" r:id="rId2"/>
    <sheet name="Костычева 27-3" sheetId="3" r:id="rId3"/>
    <sheet name="Костычева 27-4" sheetId="4" r:id="rId4"/>
    <sheet name="Костычева 27-5" sheetId="5" r:id="rId5"/>
    <sheet name="Костычева 27-6" sheetId="6" r:id="rId6"/>
    <sheet name="Костычева 27-7" sheetId="7" r:id="rId7"/>
    <sheet name="Лист1" sheetId="8" r:id="rId8"/>
    <sheet name="Лист2" sheetId="9" r:id="rId9"/>
  </sheets>
  <definedNames/>
  <calcPr fullCalcOnLoad="1"/>
</workbook>
</file>

<file path=xl/sharedStrings.xml><?xml version="1.0" encoding="utf-8"?>
<sst xmlns="http://schemas.openxmlformats.org/spreadsheetml/2006/main" count="1271" uniqueCount="143">
  <si>
    <t>ООО "Ингосстрах" (страховка МКД)</t>
  </si>
  <si>
    <t>за период с 14 апреля 2014г. по 09 июня 2015г.</t>
  </si>
  <si>
    <t>Перерасход средств (+), неосвоенно средств (-) на 10.06.2015г.</t>
  </si>
  <si>
    <t>Доходы по факту*</t>
  </si>
  <si>
    <t>*доходы по факту на 30 сентября 2015 г.</t>
  </si>
  <si>
    <t>ООО "Подрядчик" (диагностика пожарной сигнализации)</t>
  </si>
  <si>
    <t>26</t>
  </si>
  <si>
    <t>Вывоз строительного мусора в т.ч. ООО "Петр и компания" (вывоз бункера мусора 132479,93), ООО "Ирктранском" (бункер под мусор 5200), ООО "Бонус-Авто" (погрузка и вывоз мусора 2634,20)</t>
  </si>
  <si>
    <t>18</t>
  </si>
  <si>
    <t>Подрядная организация по техническому обслуживанию, ремонту мест общего пользования и уборку придомовой территории МКД ООО "Бонус-Авто" (в т.ч. 21400 уборка придомовой территории 6-ой раз в неделю)</t>
  </si>
  <si>
    <t>ООО СК "Электросвязь" (подключение ОДПУ ХВС к системе АСКУТЭ)</t>
  </si>
  <si>
    <t>автоуслуги (вывоз мусора)</t>
  </si>
  <si>
    <t>ИП Молев К.Е. (услуги по уборке и вывозу снега)</t>
  </si>
  <si>
    <t>Подрядная организация по техническому обслуживанию, ремонту мест общего пользования и уборку придомовой территории МКД ООО "Бонус-Авто"</t>
  </si>
  <si>
    <t>Перерасход средств (+), неосвоенно средств (-) на 01.04.2015г.</t>
  </si>
  <si>
    <t>ООО "АДС" Аварийное обслуживание</t>
  </si>
  <si>
    <t>ООО "Петр и компания" (вывоз ТБО)</t>
  </si>
  <si>
    <t>ООО "Ирктранском" (бункер под мусор)</t>
  </si>
  <si>
    <t>ООО "РостСтрой" (установка штапика)</t>
  </si>
  <si>
    <t>за период с 14 апреля 2014г. по 02 июня 2015г.</t>
  </si>
  <si>
    <t>Исп.директор ООО "Приоритет"</t>
  </si>
  <si>
    <t>____________ Куцев Д.Е.</t>
  </si>
  <si>
    <t>Подрядная организация по ремонту и техническому обслуживанию и содержанию электрооборудования жилищного фонда ООО "Основа"</t>
  </si>
  <si>
    <t>22</t>
  </si>
  <si>
    <t>Налог по УСН 6%</t>
  </si>
  <si>
    <t>27</t>
  </si>
  <si>
    <t xml:space="preserve">Доход от нежилых помещений </t>
  </si>
  <si>
    <t>Перерасход средств (+), неосвоенно средств (-) на 01.01.2015г.</t>
  </si>
  <si>
    <t>___________ Мильченко О.Д.</t>
  </si>
  <si>
    <t>Подрядная организация ООО "Основа" - всего</t>
  </si>
  <si>
    <t>долг</t>
  </si>
  <si>
    <t>Начисление</t>
  </si>
  <si>
    <t>ООО "Азимут" (снятие показаний ИТП)</t>
  </si>
  <si>
    <t>ОТЧЕТ (информационно-промежуточный)</t>
  </si>
  <si>
    <t>за период с 14 апреля 2014г. по 31 декабря 2014г.</t>
  </si>
  <si>
    <t>Адрес:Костычева 27/3</t>
  </si>
  <si>
    <t>Подрядная организация по техническому обслуживанию,ремонту мест общего пользования и уборку придомовой территории МКД ООО "Бонус-Авто"</t>
  </si>
  <si>
    <t>ООО "Петр и компания" (вывоз мусора)</t>
  </si>
  <si>
    <t>ООО "Петр и компания" (вывоз бункера мусора)</t>
  </si>
  <si>
    <t>ООО "Иркутсклифткомплекс" (тех.обслуживание лифтов)</t>
  </si>
  <si>
    <t>ООО "Сиблифткомплекс" (тех.обслуживание лифтов)</t>
  </si>
  <si>
    <t>ООО ЦПУ (периодическое освидетельствование лифтов)</t>
  </si>
  <si>
    <t>ООО СК "Электросвязь" (подключение ОДПУ учета ТЭ к системе АСКУТЭ)</t>
  </si>
  <si>
    <t>ООО "Ингосстрах" (страховая премия)</t>
  </si>
  <si>
    <t>Страховая компания "Согласие" (взнос по страхованию лифтов)</t>
  </si>
  <si>
    <t>ООО "Кит-2" (изготовление и установка вывески )</t>
  </si>
  <si>
    <t>ООО "Кит-2" (изготовление и установка наклеек )</t>
  </si>
  <si>
    <t>ООО "Сибспецпроект" (установка почтового ящика для сбора показаний индивидуальных приборов учета)</t>
  </si>
  <si>
    <t>Расходы на управление МКД</t>
  </si>
  <si>
    <t>ул.Костычева 27/3</t>
  </si>
  <si>
    <t>Подрядная организация ООО "Бонус-Авто" всего</t>
  </si>
  <si>
    <t>обработка подвалов от крыс</t>
  </si>
  <si>
    <t>Адрес:Костычева 27/4</t>
  </si>
  <si>
    <t>ООО "РостСтрой" (ремонт дверей, стеклопакетов)</t>
  </si>
  <si>
    <t>ул.Костычева 27/4</t>
  </si>
  <si>
    <t>обшивка кабины лифта фанерой</t>
  </si>
  <si>
    <t>Адрес:Костычева 27/5</t>
  </si>
  <si>
    <t>ул.Костычева 27/5</t>
  </si>
  <si>
    <t>Адрес:Костычева 27/6</t>
  </si>
  <si>
    <t>ул.Костычева 27/6</t>
  </si>
  <si>
    <t>Адрес:Костычева 27/7</t>
  </si>
  <si>
    <t>ООО "СибирьСтрой Гарант" (изготовление входной группы)</t>
  </si>
  <si>
    <t>ООО "СибирьСтрой Гарант" (изготовление и установка двери на чердак)</t>
  </si>
  <si>
    <t>ул.Костычева 27/7</t>
  </si>
  <si>
    <t xml:space="preserve">                                                                                                                                                                                        </t>
  </si>
  <si>
    <t>ООО "Азимут" (тех. Обслуживание ИТП)</t>
  </si>
  <si>
    <t>Текущая задолженность собственников по оплате перед ООО "Приоритет"</t>
  </si>
  <si>
    <t>Текущая задолженность собственников по оплате за все коммунальные услуги</t>
  </si>
  <si>
    <t>Расшифровка</t>
  </si>
  <si>
    <t>ВСЕГО   РАСХОДОВ</t>
  </si>
  <si>
    <t>стоимость использованных материалов</t>
  </si>
  <si>
    <t>Исполнитель: экономист</t>
  </si>
  <si>
    <t xml:space="preserve">                         Доходы</t>
  </si>
  <si>
    <t>ДОХОДЫ</t>
  </si>
  <si>
    <t>Ремонт общего имущества дома</t>
  </si>
  <si>
    <t xml:space="preserve">Приложение к отчету </t>
  </si>
  <si>
    <t xml:space="preserve">ОПЛАТА </t>
  </si>
  <si>
    <t>Наименование статей</t>
  </si>
  <si>
    <t>Доходы по факту</t>
  </si>
  <si>
    <t>Долг за отчетный период</t>
  </si>
  <si>
    <t>Всего</t>
  </si>
  <si>
    <t xml:space="preserve">Площадь квартир общая: </t>
  </si>
  <si>
    <t>м2</t>
  </si>
  <si>
    <t>S=</t>
  </si>
  <si>
    <t>УТВЕРЖДАЮ</t>
  </si>
  <si>
    <t>-</t>
  </si>
  <si>
    <t>Освещение МОП (ООО "Иркутскэнергосбыт")</t>
  </si>
  <si>
    <t xml:space="preserve"> </t>
  </si>
  <si>
    <t>ОТЧЕТ</t>
  </si>
  <si>
    <t>Содержание общего имущества дома</t>
  </si>
  <si>
    <t>Услуги паспортного стола</t>
  </si>
  <si>
    <t>Использование общего имущества дома</t>
  </si>
  <si>
    <t>в т.ч.</t>
  </si>
  <si>
    <t>Итого</t>
  </si>
  <si>
    <t>РАСХОДЫ</t>
  </si>
  <si>
    <t>1.1</t>
  </si>
  <si>
    <t>ИП Семенова Е.А (биллинг импульсных приборов ХВС)</t>
  </si>
  <si>
    <t>ИП Семенова Е.А (биллинговое сопровождение АСКУТЭ)</t>
  </si>
  <si>
    <t>Аварийное обслуживание</t>
  </si>
  <si>
    <t>Доход от нежилых помещений (содержание+ком.услуги)</t>
  </si>
  <si>
    <t>ООО Типография "Иркут" (изготовление переплетов на тех.паспорт МКД)</t>
  </si>
  <si>
    <t>19</t>
  </si>
  <si>
    <t>Перерасход средств (+), неосвоенно средств (-) на 03.06.2015г.</t>
  </si>
  <si>
    <t>за период с 14 апреля 2014г. по 31 марта 2015г.</t>
  </si>
  <si>
    <t>вывоз мусора</t>
  </si>
  <si>
    <t>Доход от нежилых помещений</t>
  </si>
  <si>
    <t>Дополнительные услуги</t>
  </si>
  <si>
    <t>Коммунальные услуги за нежилые помещения</t>
  </si>
  <si>
    <t>20</t>
  </si>
  <si>
    <t>21</t>
  </si>
  <si>
    <t>23</t>
  </si>
  <si>
    <t>24</t>
  </si>
  <si>
    <t>ООО "СибирьСтрой Гарант" (изготовление входной группы с решеткой на лестничном марше последнего этажа)</t>
  </si>
  <si>
    <t>ООО "РостСтрой" (ремонт дверей, стеклопакетов в МОП)</t>
  </si>
  <si>
    <t>ООО "РостСтрой" (сэндвич-панель 3000*1500, ремонт дверей переходов в МОП)</t>
  </si>
  <si>
    <t>ООО "СибирьСтрой Гарант" (изготовление входной группы на лестничном марше последнего этажа)</t>
  </si>
  <si>
    <t>1.2</t>
  </si>
  <si>
    <t>ФОТ</t>
  </si>
  <si>
    <t>ИП Демьянов Д.К. (изготовление информационного щита для детской площадки)</t>
  </si>
  <si>
    <t>Перерасход средств (+), неосвоенно средств (-) на 01.01.2016г.</t>
  </si>
  <si>
    <t>за период с 01 апреля 2015г. по 31 декабря 2015г.</t>
  </si>
  <si>
    <t>за период с 01 февраля 2015г. по 31 декабря 2015г.</t>
  </si>
  <si>
    <t>Адрес:Костычева 27/1</t>
  </si>
  <si>
    <t>ул.Костычева 27/1</t>
  </si>
  <si>
    <t>окраска металлических оград</t>
  </si>
  <si>
    <t>ООО ЦПС (периодическое освидетельствование лифтов)</t>
  </si>
  <si>
    <t>установка новогодней ели</t>
  </si>
  <si>
    <t>ООО "Сибвуд" (ветки хвойных деревьев)</t>
  </si>
  <si>
    <t>ООО Типография "Иркут" (изготовление переплетов тех.паспортов)</t>
  </si>
  <si>
    <t>ООО "Дорсвет" (уборка снега)</t>
  </si>
  <si>
    <t>Адрес:Костычева 27/2</t>
  </si>
  <si>
    <t>ул.Костычева 27/2</t>
  </si>
  <si>
    <t>промывка выпуска канализации</t>
  </si>
  <si>
    <t>ООО "АльтаСтрой"(изготовление и монтаж ограждений)</t>
  </si>
  <si>
    <t>декаративное оформление 1 этажа</t>
  </si>
  <si>
    <t>ремонт 1 этажа</t>
  </si>
  <si>
    <t>Отчетный период с 14.04.14г. по 31.03.15г.</t>
  </si>
  <si>
    <t>Отчетный период с 01.04.15г. по 31.12.15г.</t>
  </si>
  <si>
    <t>ООО "РОстСтрой" (замена сэндвич панели)</t>
  </si>
  <si>
    <t>ООО "Лифтсервис" (тех.обслуживание лифтов)</t>
  </si>
  <si>
    <t>ООО "Лифтсервис" (ремонт лифтового двигателя)</t>
  </si>
  <si>
    <t>ООО "Домофон сервис" (установка считывателя, изготовление ключей)</t>
  </si>
  <si>
    <t>Доход от нежилых помещений (содержание+ремонт)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</si>
</sst>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#,##0.00&quot;р.&quot;"/>
    <numFmt numFmtId="171" formatCode="000000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_р_."/>
    <numFmt numFmtId="180" formatCode="#,##0.0"/>
    <numFmt numFmtId="181" formatCode="#,##0.00_ ;\-#,##0.00\ "/>
    <numFmt numFmtId="182" formatCode="0.00000000"/>
    <numFmt numFmtId="183" formatCode="0.000000000"/>
    <numFmt numFmtId="184" formatCode="#,##0.00\ _₽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/>
    </xf>
    <xf numFmtId="0" fontId="5" fillId="32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9" fontId="2" fillId="0" borderId="2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2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2" fontId="2" fillId="0" borderId="22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wrapText="1"/>
    </xf>
    <xf numFmtId="49" fontId="2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179" fontId="2" fillId="0" borderId="12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horizontal="center" vertical="center" wrapText="1"/>
    </xf>
    <xf numFmtId="179" fontId="2" fillId="33" borderId="12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Border="1" applyAlignment="1">
      <alignment/>
    </xf>
    <xf numFmtId="179" fontId="2" fillId="32" borderId="12" xfId="0" applyNumberFormat="1" applyFont="1" applyFill="1" applyBorder="1" applyAlignment="1">
      <alignment/>
    </xf>
    <xf numFmtId="179" fontId="2" fillId="0" borderId="0" xfId="0" applyNumberFormat="1" applyFont="1" applyAlignment="1">
      <alignment/>
    </xf>
    <xf numFmtId="179" fontId="2" fillId="0" borderId="12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5" xfId="0" applyNumberFormat="1" applyBorder="1" applyAlignment="1">
      <alignment horizontal="center"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2" xfId="0" applyNumberFormat="1" applyBorder="1" applyAlignment="1">
      <alignment horizontal="center"/>
    </xf>
    <xf numFmtId="179" fontId="2" fillId="0" borderId="28" xfId="0" applyNumberFormat="1" applyFont="1" applyBorder="1" applyAlignment="1">
      <alignment/>
    </xf>
    <xf numFmtId="179" fontId="2" fillId="0" borderId="23" xfId="0" applyNumberFormat="1" applyFon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179" fontId="2" fillId="0" borderId="1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79" fontId="0" fillId="0" borderId="15" xfId="0" applyNumberFormat="1" applyBorder="1" applyAlignment="1">
      <alignment/>
    </xf>
    <xf numFmtId="0" fontId="9" fillId="0" borderId="0" xfId="0" applyFont="1" applyAlignment="1">
      <alignment/>
    </xf>
    <xf numFmtId="179" fontId="2" fillId="0" borderId="33" xfId="0" applyNumberFormat="1" applyFon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9" fontId="0" fillId="0" borderId="19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2" fillId="0" borderId="23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179" fontId="0" fillId="0" borderId="10" xfId="0" applyNumberFormat="1" applyBorder="1" applyAlignment="1">
      <alignment horizontal="center"/>
    </xf>
    <xf numFmtId="179" fontId="2" fillId="0" borderId="24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2" fillId="32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179" fontId="2" fillId="0" borderId="14" xfId="0" applyNumberFormat="1" applyFont="1" applyBorder="1" applyAlignment="1">
      <alignment/>
    </xf>
    <xf numFmtId="179" fontId="2" fillId="0" borderId="12" xfId="0" applyNumberFormat="1" applyFont="1" applyFill="1" applyBorder="1" applyAlignment="1">
      <alignment vertical="center"/>
    </xf>
    <xf numFmtId="17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45" fillId="0" borderId="0" xfId="0" applyFont="1" applyAlignment="1">
      <alignment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>
      <alignment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2" fontId="2" fillId="0" borderId="25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49" fontId="2" fillId="0" borderId="36" xfId="0" applyNumberFormat="1" applyFont="1" applyBorder="1" applyAlignment="1">
      <alignment horizontal="left"/>
    </xf>
    <xf numFmtId="0" fontId="0" fillId="0" borderId="36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25">
      <selection activeCell="A57" sqref="A57:F57"/>
    </sheetView>
  </sheetViews>
  <sheetFormatPr defaultColWidth="9.00390625" defaultRowHeight="12.75"/>
  <cols>
    <col min="1" max="1" width="3.25390625" style="0" customWidth="1"/>
    <col min="2" max="2" width="55.625" style="0" customWidth="1"/>
    <col min="3" max="4" width="13.125" style="0" customWidth="1"/>
    <col min="5" max="5" width="12.00390625" style="0" customWidth="1"/>
  </cols>
  <sheetData>
    <row r="1" spans="1:5" ht="12.75">
      <c r="A1" s="132"/>
      <c r="B1" s="132"/>
      <c r="C1" s="133" t="s">
        <v>84</v>
      </c>
      <c r="D1" s="134"/>
      <c r="E1" s="134"/>
    </row>
    <row r="2" spans="1:5" ht="14.25">
      <c r="A2" s="16"/>
      <c r="B2" s="104"/>
      <c r="C2" s="135" t="s">
        <v>20</v>
      </c>
      <c r="D2" s="136"/>
      <c r="E2" s="136"/>
    </row>
    <row r="3" spans="1:5" ht="14.25">
      <c r="A3" s="16"/>
      <c r="B3" s="135" t="s">
        <v>21</v>
      </c>
      <c r="C3" s="136"/>
      <c r="D3" s="136"/>
      <c r="E3" s="136"/>
    </row>
    <row r="4" spans="1:5" ht="12.75">
      <c r="A4" s="16"/>
      <c r="B4" s="24"/>
      <c r="C4" s="18"/>
      <c r="D4" s="18"/>
      <c r="E4" s="18"/>
    </row>
    <row r="5" spans="1:5" ht="18">
      <c r="A5" s="137" t="s">
        <v>88</v>
      </c>
      <c r="B5" s="130"/>
      <c r="C5" s="130"/>
      <c r="D5" s="130"/>
      <c r="E5" s="130"/>
    </row>
    <row r="6" spans="1:5" ht="15">
      <c r="A6" s="129" t="s">
        <v>121</v>
      </c>
      <c r="B6" s="131"/>
      <c r="C6" s="131"/>
      <c r="D6" s="131"/>
      <c r="E6" s="131"/>
    </row>
    <row r="7" spans="1:5" ht="15">
      <c r="A7" s="129"/>
      <c r="B7" s="130"/>
      <c r="C7" s="130"/>
      <c r="D7" s="130"/>
      <c r="E7" s="130"/>
    </row>
    <row r="8" spans="1:5" ht="15">
      <c r="A8" s="19"/>
      <c r="B8" s="20" t="s">
        <v>122</v>
      </c>
      <c r="C8" s="129"/>
      <c r="D8" s="131"/>
      <c r="E8" s="131"/>
    </row>
    <row r="9" spans="1:4" ht="15">
      <c r="A9" s="19"/>
      <c r="B9" s="20"/>
      <c r="C9" s="108"/>
      <c r="D9" s="47"/>
    </row>
    <row r="10" spans="1:5" ht="13.5" thickBot="1">
      <c r="A10" s="16" t="s">
        <v>72</v>
      </c>
      <c r="B10" s="3" t="s">
        <v>73</v>
      </c>
      <c r="C10" s="10"/>
      <c r="D10" s="14"/>
      <c r="E10" s="22"/>
    </row>
    <row r="11" spans="1:5" ht="39" thickBot="1">
      <c r="A11" s="72"/>
      <c r="B11" s="73" t="s">
        <v>77</v>
      </c>
      <c r="C11" s="74" t="s">
        <v>78</v>
      </c>
      <c r="D11" s="75" t="s">
        <v>31</v>
      </c>
      <c r="E11" s="76" t="s">
        <v>79</v>
      </c>
    </row>
    <row r="12" spans="1:5" ht="12.75">
      <c r="A12" s="52">
        <v>1</v>
      </c>
      <c r="B12" s="59" t="s">
        <v>89</v>
      </c>
      <c r="C12" s="89">
        <v>994898.07</v>
      </c>
      <c r="D12" s="90">
        <f>1186365.18-2092.35</f>
        <v>1184272.8299999998</v>
      </c>
      <c r="E12" s="91">
        <f>D12-C12</f>
        <v>189374.7599999999</v>
      </c>
    </row>
    <row r="13" spans="1:5" ht="12.75">
      <c r="A13" s="44">
        <v>2</v>
      </c>
      <c r="B13" s="5" t="s">
        <v>91</v>
      </c>
      <c r="C13" s="92">
        <f>20000+4500</f>
        <v>24500</v>
      </c>
      <c r="D13" s="93">
        <f>450+700+4500+20000</f>
        <v>25650</v>
      </c>
      <c r="E13" s="94">
        <f>D13-C13</f>
        <v>1150</v>
      </c>
    </row>
    <row r="14" spans="1:5" ht="13.5" thickBot="1">
      <c r="A14" s="79">
        <v>3</v>
      </c>
      <c r="B14" s="48" t="s">
        <v>105</v>
      </c>
      <c r="C14" s="106">
        <f>111836.06-38484.44</f>
        <v>73351.62</v>
      </c>
      <c r="D14" s="107">
        <f>156023.29-38484.42</f>
        <v>117538.87000000001</v>
      </c>
      <c r="E14" s="97">
        <f>D14-C14</f>
        <v>44187.250000000015</v>
      </c>
    </row>
    <row r="15" spans="1:5" ht="13.5" thickBot="1">
      <c r="A15" s="77"/>
      <c r="B15" s="78"/>
      <c r="C15" s="105">
        <f>SUM(C12:C14)</f>
        <v>1092749.69</v>
      </c>
      <c r="D15" s="105">
        <f>SUM(D12:D14)</f>
        <v>1327461.7</v>
      </c>
      <c r="E15" s="105">
        <f>SUM(E12:E14)</f>
        <v>234712.0099999999</v>
      </c>
    </row>
    <row r="16" spans="1:5" ht="12.75">
      <c r="A16" s="26"/>
      <c r="B16" s="15"/>
      <c r="C16" s="119"/>
      <c r="D16" s="119"/>
      <c r="E16" s="119"/>
    </row>
    <row r="17" spans="1:2" ht="12.75">
      <c r="A17" s="25"/>
      <c r="B17" s="3" t="s">
        <v>94</v>
      </c>
    </row>
    <row r="18" spans="1:4" ht="38.25">
      <c r="A18" s="46">
        <v>1</v>
      </c>
      <c r="B18" s="43" t="s">
        <v>13</v>
      </c>
      <c r="C18" s="88">
        <f>C48</f>
        <v>584271.9600000001</v>
      </c>
      <c r="D18" s="21"/>
    </row>
    <row r="19" spans="1:4" ht="38.25">
      <c r="A19" s="46">
        <v>2</v>
      </c>
      <c r="B19" s="17" t="s">
        <v>22</v>
      </c>
      <c r="C19" s="83">
        <f>C53</f>
        <v>39050.93</v>
      </c>
      <c r="D19" s="98"/>
    </row>
    <row r="20" spans="1:4" ht="12.75">
      <c r="A20" s="44">
        <v>3</v>
      </c>
      <c r="B20" s="8" t="s">
        <v>86</v>
      </c>
      <c r="C20" s="100">
        <v>33218.53</v>
      </c>
      <c r="D20" s="98"/>
    </row>
    <row r="21" spans="1:4" ht="12.75">
      <c r="A21" s="46">
        <v>4</v>
      </c>
      <c r="B21" s="8" t="s">
        <v>15</v>
      </c>
      <c r="C21" s="100">
        <v>25840.44</v>
      </c>
      <c r="D21" s="98"/>
    </row>
    <row r="22" spans="1:4" ht="12.75">
      <c r="A22" s="44">
        <v>5</v>
      </c>
      <c r="B22" s="8" t="s">
        <v>37</v>
      </c>
      <c r="C22" s="84">
        <v>20556.72</v>
      </c>
      <c r="D22" s="98"/>
    </row>
    <row r="23" spans="1:4" ht="12.75">
      <c r="A23" s="44">
        <v>6</v>
      </c>
      <c r="B23" s="8" t="s">
        <v>38</v>
      </c>
      <c r="C23" s="84">
        <v>108331.83</v>
      </c>
      <c r="D23" s="98"/>
    </row>
    <row r="24" spans="1:4" ht="12.75">
      <c r="A24" s="44">
        <v>7</v>
      </c>
      <c r="B24" s="17" t="s">
        <v>127</v>
      </c>
      <c r="C24" s="88">
        <v>3891.99</v>
      </c>
      <c r="D24" s="98"/>
    </row>
    <row r="25" spans="1:5" ht="25.5">
      <c r="A25" s="44">
        <v>8</v>
      </c>
      <c r="B25" s="17" t="s">
        <v>97</v>
      </c>
      <c r="C25" s="88">
        <v>1166.5</v>
      </c>
      <c r="D25" s="98"/>
      <c r="E25" t="s">
        <v>87</v>
      </c>
    </row>
    <row r="26" spans="1:4" ht="12.75">
      <c r="A26" s="46">
        <v>9</v>
      </c>
      <c r="B26" s="50" t="s">
        <v>139</v>
      </c>
      <c r="C26" s="88">
        <v>125600</v>
      </c>
      <c r="D26" s="98"/>
    </row>
    <row r="27" spans="1:4" ht="25.5">
      <c r="A27" s="46">
        <v>10</v>
      </c>
      <c r="B27" s="17" t="s">
        <v>118</v>
      </c>
      <c r="C27" s="88">
        <v>112</v>
      </c>
      <c r="D27" s="98"/>
    </row>
    <row r="28" spans="1:4" ht="12.75">
      <c r="A28" s="46">
        <v>11</v>
      </c>
      <c r="B28" s="50" t="s">
        <v>125</v>
      </c>
      <c r="C28" s="88">
        <v>9000</v>
      </c>
      <c r="D28" s="98"/>
    </row>
    <row r="29" spans="1:4" ht="25.5">
      <c r="A29" s="46">
        <v>12</v>
      </c>
      <c r="B29" s="17" t="s">
        <v>42</v>
      </c>
      <c r="C29" s="88">
        <v>3250</v>
      </c>
      <c r="D29" s="98"/>
    </row>
    <row r="30" spans="1:4" ht="12.75">
      <c r="A30" s="46">
        <v>13</v>
      </c>
      <c r="B30" s="17" t="s">
        <v>129</v>
      </c>
      <c r="C30" s="88">
        <v>40860.41</v>
      </c>
      <c r="D30" s="98"/>
    </row>
    <row r="31" spans="1:4" ht="12.75">
      <c r="A31" s="46">
        <v>14</v>
      </c>
      <c r="B31" s="17" t="s">
        <v>0</v>
      </c>
      <c r="C31" s="88">
        <v>18898.46</v>
      </c>
      <c r="D31" s="98"/>
    </row>
    <row r="32" spans="1:4" ht="25.5">
      <c r="A32" s="46">
        <v>15</v>
      </c>
      <c r="B32" s="17" t="s">
        <v>44</v>
      </c>
      <c r="C32" s="88">
        <v>3334</v>
      </c>
      <c r="D32" s="98"/>
    </row>
    <row r="33" spans="1:4" ht="12.75">
      <c r="A33" s="46">
        <v>16</v>
      </c>
      <c r="B33" s="17" t="s">
        <v>12</v>
      </c>
      <c r="C33" s="88">
        <f>827.55+7720.22</f>
        <v>8547.77</v>
      </c>
      <c r="D33" s="98"/>
    </row>
    <row r="34" spans="1:5" ht="25.5">
      <c r="A34" s="46">
        <v>17</v>
      </c>
      <c r="B34" s="17" t="s">
        <v>128</v>
      </c>
      <c r="C34" s="88">
        <v>181.72</v>
      </c>
      <c r="D34" s="98"/>
      <c r="E34" t="s">
        <v>87</v>
      </c>
    </row>
    <row r="35" spans="1:3" ht="12.75">
      <c r="A35" s="32" t="s">
        <v>8</v>
      </c>
      <c r="B35" s="8" t="s">
        <v>24</v>
      </c>
      <c r="C35" s="85">
        <f>C15*0.06</f>
        <v>65564.98139999999</v>
      </c>
    </row>
    <row r="36" spans="1:3" ht="12.75">
      <c r="A36" s="33"/>
      <c r="B36" s="13" t="s">
        <v>93</v>
      </c>
      <c r="C36" s="120">
        <f>SUM(C18:C35)</f>
        <v>1091678.2414</v>
      </c>
    </row>
    <row r="37" spans="1:3" ht="12.75">
      <c r="A37" s="32"/>
      <c r="B37" s="8" t="s">
        <v>48</v>
      </c>
      <c r="C37" s="100">
        <f>D15*10%</f>
        <v>132746.17</v>
      </c>
    </row>
    <row r="38" spans="1:4" ht="13.5" thickBot="1">
      <c r="A38" s="39"/>
      <c r="B38" s="34" t="s">
        <v>69</v>
      </c>
      <c r="C38" s="109">
        <f>C36+C37</f>
        <v>1224424.4113999999</v>
      </c>
      <c r="D38" s="21"/>
    </row>
    <row r="39" spans="1:4" ht="12.75">
      <c r="A39" s="16"/>
      <c r="B39" s="4"/>
      <c r="C39" s="99"/>
      <c r="D39" s="21"/>
    </row>
    <row r="40" spans="1:3" ht="15">
      <c r="A40" s="47" t="s">
        <v>14</v>
      </c>
      <c r="B40" s="111"/>
      <c r="C40" s="99">
        <f>C38-C15</f>
        <v>131674.72139999992</v>
      </c>
    </row>
    <row r="41" spans="1:3" ht="15">
      <c r="A41" s="16"/>
      <c r="B41" s="11"/>
      <c r="C41" s="87"/>
    </row>
    <row r="42" ht="12.75">
      <c r="B42" s="1" t="s">
        <v>71</v>
      </c>
    </row>
    <row r="43" ht="12.75">
      <c r="B43" s="1" t="s">
        <v>28</v>
      </c>
    </row>
    <row r="44" ht="12.75">
      <c r="B44" s="1"/>
    </row>
    <row r="45" spans="1:4" ht="12.75">
      <c r="A45" s="2"/>
      <c r="B45" s="2"/>
      <c r="C45" s="2" t="s">
        <v>75</v>
      </c>
      <c r="D45" s="2"/>
    </row>
    <row r="46" spans="1:4" ht="12.75">
      <c r="A46" s="2"/>
      <c r="B46" s="2"/>
      <c r="C46" s="2" t="s">
        <v>123</v>
      </c>
      <c r="D46" s="2"/>
    </row>
    <row r="47" spans="1:4" ht="13.5" thickBot="1">
      <c r="A47" s="25"/>
      <c r="B47" s="25" t="s">
        <v>68</v>
      </c>
      <c r="C47" s="23"/>
      <c r="D47" s="53"/>
    </row>
    <row r="48" spans="1:5" ht="12.75">
      <c r="A48" s="35" t="s">
        <v>95</v>
      </c>
      <c r="B48" s="27" t="s">
        <v>50</v>
      </c>
      <c r="C48" s="31">
        <f>C50+C51+C52+491886.7+49242.4</f>
        <v>584271.9600000001</v>
      </c>
      <c r="D48" s="12"/>
      <c r="E48" s="14"/>
    </row>
    <row r="49" spans="1:5" ht="12.75">
      <c r="A49" s="36"/>
      <c r="B49" s="6" t="s">
        <v>92</v>
      </c>
      <c r="C49" s="28"/>
      <c r="D49" s="12"/>
      <c r="E49" s="14"/>
    </row>
    <row r="50" spans="1:5" ht="12.75">
      <c r="A50" s="37" t="s">
        <v>85</v>
      </c>
      <c r="B50" s="6" t="s">
        <v>70</v>
      </c>
      <c r="C50" s="28">
        <f>5005.66+9163</f>
        <v>14168.66</v>
      </c>
      <c r="D50" s="12"/>
      <c r="E50" s="12"/>
    </row>
    <row r="51" spans="1:5" ht="12.75">
      <c r="A51" s="37" t="s">
        <v>85</v>
      </c>
      <c r="B51" s="40" t="s">
        <v>124</v>
      </c>
      <c r="C51" s="41">
        <v>4393.53</v>
      </c>
      <c r="D51" s="12"/>
      <c r="E51" s="12"/>
    </row>
    <row r="52" spans="1:5" ht="13.5" thickBot="1">
      <c r="A52" s="49" t="s">
        <v>85</v>
      </c>
      <c r="B52" s="40" t="s">
        <v>126</v>
      </c>
      <c r="C52" s="41">
        <v>24580.67</v>
      </c>
      <c r="D52" s="12"/>
      <c r="E52" s="12"/>
    </row>
    <row r="53" spans="1:5" ht="12.75">
      <c r="A53" s="35" t="s">
        <v>116</v>
      </c>
      <c r="B53" s="27" t="s">
        <v>29</v>
      </c>
      <c r="C53" s="31">
        <f>C55+31436.93</f>
        <v>39050.93</v>
      </c>
      <c r="D53" s="12"/>
      <c r="E53" s="10"/>
    </row>
    <row r="54" spans="1:5" ht="12.75">
      <c r="A54" s="36"/>
      <c r="B54" s="6" t="s">
        <v>92</v>
      </c>
      <c r="C54" s="28"/>
      <c r="D54" s="12"/>
      <c r="E54" s="14"/>
    </row>
    <row r="55" spans="1:5" ht="13.5" thickBot="1">
      <c r="A55" s="38" t="s">
        <v>85</v>
      </c>
      <c r="B55" s="29" t="s">
        <v>70</v>
      </c>
      <c r="C55" s="30">
        <v>7614</v>
      </c>
      <c r="D55" s="12"/>
      <c r="E55" s="12"/>
    </row>
    <row r="57" spans="1:6" ht="12.75">
      <c r="A57" s="126"/>
      <c r="B57" s="126"/>
      <c r="C57" s="126"/>
      <c r="D57" s="126"/>
      <c r="E57" s="126"/>
      <c r="F57" s="126"/>
    </row>
  </sheetData>
  <sheetProtection/>
  <mergeCells count="8">
    <mergeCell ref="A7:E7"/>
    <mergeCell ref="C8:E8"/>
    <mergeCell ref="A1:B1"/>
    <mergeCell ref="C1:E1"/>
    <mergeCell ref="C2:E2"/>
    <mergeCell ref="B3:E3"/>
    <mergeCell ref="A5:E5"/>
    <mergeCell ref="A6:E6"/>
  </mergeCells>
  <printOptions/>
  <pageMargins left="0.5118110236220472" right="0.11811023622047245" top="0.7480314960629921" bottom="0.7480314960629921" header="0.31496062992125984" footer="0.31496062992125984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31">
      <selection activeCell="B26" sqref="B26"/>
    </sheetView>
  </sheetViews>
  <sheetFormatPr defaultColWidth="9.00390625" defaultRowHeight="12.75"/>
  <cols>
    <col min="1" max="1" width="3.25390625" style="0" customWidth="1"/>
    <col min="2" max="2" width="55.625" style="0" customWidth="1"/>
    <col min="3" max="4" width="13.125" style="0" customWidth="1"/>
    <col min="5" max="5" width="12.00390625" style="0" customWidth="1"/>
  </cols>
  <sheetData>
    <row r="1" spans="1:5" ht="12.75">
      <c r="A1" s="132"/>
      <c r="B1" s="132"/>
      <c r="C1" s="133" t="s">
        <v>84</v>
      </c>
      <c r="D1" s="134"/>
      <c r="E1" s="134"/>
    </row>
    <row r="2" spans="1:5" ht="14.25">
      <c r="A2" s="16"/>
      <c r="B2" s="104"/>
      <c r="C2" s="135" t="s">
        <v>20</v>
      </c>
      <c r="D2" s="136"/>
      <c r="E2" s="136"/>
    </row>
    <row r="3" spans="1:5" ht="18.75" customHeight="1">
      <c r="A3" s="16"/>
      <c r="B3" s="135" t="s">
        <v>21</v>
      </c>
      <c r="C3" s="136"/>
      <c r="D3" s="136"/>
      <c r="E3" s="136"/>
    </row>
    <row r="4" spans="1:5" ht="12.75">
      <c r="A4" s="16"/>
      <c r="B4" s="24"/>
      <c r="C4" s="18"/>
      <c r="D4" s="18"/>
      <c r="E4" s="18"/>
    </row>
    <row r="5" spans="1:5" ht="18">
      <c r="A5" s="137" t="s">
        <v>88</v>
      </c>
      <c r="B5" s="130"/>
      <c r="C5" s="130"/>
      <c r="D5" s="130"/>
      <c r="E5" s="130"/>
    </row>
    <row r="6" spans="1:5" ht="15">
      <c r="A6" s="129" t="s">
        <v>121</v>
      </c>
      <c r="B6" s="131"/>
      <c r="C6" s="131"/>
      <c r="D6" s="131"/>
      <c r="E6" s="131"/>
    </row>
    <row r="7" spans="1:5" ht="15">
      <c r="A7" s="129"/>
      <c r="B7" s="130"/>
      <c r="C7" s="130"/>
      <c r="D7" s="130"/>
      <c r="E7" s="130"/>
    </row>
    <row r="8" spans="1:5" ht="15">
      <c r="A8" s="19"/>
      <c r="B8" s="20" t="s">
        <v>130</v>
      </c>
      <c r="C8" s="129"/>
      <c r="D8" s="131"/>
      <c r="E8" s="131"/>
    </row>
    <row r="9" spans="1:4" ht="15">
      <c r="A9" s="19"/>
      <c r="B9" s="20"/>
      <c r="C9" s="108"/>
      <c r="D9" s="47"/>
    </row>
    <row r="10" spans="1:5" ht="13.5" thickBot="1">
      <c r="A10" s="16" t="s">
        <v>72</v>
      </c>
      <c r="B10" s="3" t="s">
        <v>73</v>
      </c>
      <c r="C10" s="10"/>
      <c r="D10" s="14"/>
      <c r="E10" s="22"/>
    </row>
    <row r="11" spans="1:5" ht="39" thickBot="1">
      <c r="A11" s="72"/>
      <c r="B11" s="73" t="s">
        <v>77</v>
      </c>
      <c r="C11" s="74" t="s">
        <v>78</v>
      </c>
      <c r="D11" s="75" t="s">
        <v>31</v>
      </c>
      <c r="E11" s="76" t="s">
        <v>79</v>
      </c>
    </row>
    <row r="12" spans="1:5" ht="12.75">
      <c r="A12" s="52">
        <v>1</v>
      </c>
      <c r="B12" s="59" t="s">
        <v>89</v>
      </c>
      <c r="C12" s="89">
        <v>441699.03</v>
      </c>
      <c r="D12" s="90">
        <f>548106.3+8693.45</f>
        <v>556799.75</v>
      </c>
      <c r="E12" s="91">
        <f>D12-C12</f>
        <v>115100.71999999997</v>
      </c>
    </row>
    <row r="13" spans="1:5" ht="12.75">
      <c r="A13" s="44">
        <v>2</v>
      </c>
      <c r="B13" s="5" t="s">
        <v>91</v>
      </c>
      <c r="C13" s="92">
        <f>4500+39000</f>
        <v>43500</v>
      </c>
      <c r="D13" s="93">
        <f>450+350+4500+39000</f>
        <v>44300</v>
      </c>
      <c r="E13" s="94">
        <f>D13-C13</f>
        <v>800</v>
      </c>
    </row>
    <row r="14" spans="1:5" ht="13.5" thickBot="1">
      <c r="A14" s="79">
        <v>3</v>
      </c>
      <c r="B14" s="48" t="s">
        <v>105</v>
      </c>
      <c r="C14" s="106">
        <f>51026.92-15028.98-1308.01</f>
        <v>34689.93</v>
      </c>
      <c r="D14" s="107">
        <f>51026.92-15028.98+30088.61-1308.01</f>
        <v>64778.54</v>
      </c>
      <c r="E14" s="97">
        <f>D14-C14</f>
        <v>30088.61</v>
      </c>
    </row>
    <row r="15" spans="1:5" ht="13.5" thickBot="1">
      <c r="A15" s="77"/>
      <c r="B15" s="78"/>
      <c r="C15" s="105">
        <f>SUM(C12:C14)</f>
        <v>519888.96</v>
      </c>
      <c r="D15" s="105">
        <f>SUM(D12:D14)</f>
        <v>665878.29</v>
      </c>
      <c r="E15" s="105">
        <f>SUM(E12:E14)</f>
        <v>145989.32999999996</v>
      </c>
    </row>
    <row r="16" spans="1:5" ht="12.75">
      <c r="A16" s="26"/>
      <c r="B16" s="15"/>
      <c r="C16" s="119"/>
      <c r="D16" s="119"/>
      <c r="E16" s="119"/>
    </row>
    <row r="17" spans="1:2" ht="12.75">
      <c r="A17" s="25"/>
      <c r="B17" s="3" t="s">
        <v>94</v>
      </c>
    </row>
    <row r="18" spans="1:4" ht="38.25">
      <c r="A18" s="46">
        <v>1</v>
      </c>
      <c r="B18" s="43" t="s">
        <v>13</v>
      </c>
      <c r="C18" s="88">
        <f>C49</f>
        <v>320190.86</v>
      </c>
      <c r="D18" s="21"/>
    </row>
    <row r="19" spans="1:4" ht="38.25">
      <c r="A19" s="46">
        <v>2</v>
      </c>
      <c r="B19" s="17" t="s">
        <v>22</v>
      </c>
      <c r="C19" s="83">
        <f>C55</f>
        <v>18818.77</v>
      </c>
      <c r="D19" s="98"/>
    </row>
    <row r="20" spans="1:4" ht="12.75">
      <c r="A20" s="44">
        <v>3</v>
      </c>
      <c r="B20" s="8" t="s">
        <v>86</v>
      </c>
      <c r="C20" s="100">
        <v>16036.95</v>
      </c>
      <c r="D20" s="98"/>
    </row>
    <row r="21" spans="1:4" ht="12.75">
      <c r="A21" s="46">
        <v>4</v>
      </c>
      <c r="B21" s="8" t="s">
        <v>15</v>
      </c>
      <c r="C21" s="100">
        <v>11937.96</v>
      </c>
      <c r="D21" s="98"/>
    </row>
    <row r="22" spans="1:4" ht="12.75">
      <c r="A22" s="44">
        <v>5</v>
      </c>
      <c r="B22" s="8" t="s">
        <v>37</v>
      </c>
      <c r="C22" s="84">
        <v>20556.72</v>
      </c>
      <c r="D22" s="98"/>
    </row>
    <row r="23" spans="1:4" ht="12.75">
      <c r="A23" s="44">
        <v>6</v>
      </c>
      <c r="B23" s="8" t="s">
        <v>38</v>
      </c>
      <c r="C23" s="84">
        <v>51980.26</v>
      </c>
      <c r="D23" s="98"/>
    </row>
    <row r="24" spans="1:4" ht="12.75">
      <c r="A24" s="44">
        <v>7</v>
      </c>
      <c r="B24" s="17" t="s">
        <v>127</v>
      </c>
      <c r="C24" s="88">
        <v>1878.87</v>
      </c>
      <c r="D24" s="98"/>
    </row>
    <row r="25" spans="1:5" ht="12.75">
      <c r="A25" s="44">
        <v>8</v>
      </c>
      <c r="B25" s="50" t="s">
        <v>97</v>
      </c>
      <c r="C25" s="88">
        <v>583.5</v>
      </c>
      <c r="D25" s="98"/>
      <c r="E25" t="s">
        <v>87</v>
      </c>
    </row>
    <row r="26" spans="1:4" ht="12.75">
      <c r="A26" s="46">
        <v>9</v>
      </c>
      <c r="B26" s="50" t="s">
        <v>139</v>
      </c>
      <c r="C26" s="88">
        <v>65600</v>
      </c>
      <c r="D26" s="98"/>
    </row>
    <row r="27" spans="1:4" ht="25.5">
      <c r="A27" s="46">
        <v>10</v>
      </c>
      <c r="B27" s="17" t="s">
        <v>118</v>
      </c>
      <c r="C27" s="88">
        <v>112</v>
      </c>
      <c r="D27" s="98"/>
    </row>
    <row r="28" spans="1:4" ht="12.75">
      <c r="A28" s="46">
        <v>11</v>
      </c>
      <c r="B28" s="50" t="s">
        <v>125</v>
      </c>
      <c r="C28" s="88">
        <v>4500</v>
      </c>
      <c r="D28" s="98"/>
    </row>
    <row r="29" spans="1:4" ht="25.5">
      <c r="A29" s="46">
        <v>12</v>
      </c>
      <c r="B29" s="17" t="s">
        <v>42</v>
      </c>
      <c r="C29" s="88">
        <v>3250</v>
      </c>
      <c r="D29" s="98"/>
    </row>
    <row r="30" spans="1:4" ht="12.75">
      <c r="A30" s="46">
        <v>13</v>
      </c>
      <c r="B30" s="17" t="s">
        <v>129</v>
      </c>
      <c r="C30" s="88">
        <v>19725.52</v>
      </c>
      <c r="D30" s="98"/>
    </row>
    <row r="31" spans="1:4" ht="12.75">
      <c r="A31" s="46">
        <v>14</v>
      </c>
      <c r="B31" s="17" t="s">
        <v>0</v>
      </c>
      <c r="C31" s="88">
        <v>9101.54</v>
      </c>
      <c r="D31" s="98"/>
    </row>
    <row r="32" spans="1:4" ht="25.5">
      <c r="A32" s="46">
        <v>15</v>
      </c>
      <c r="B32" s="17" t="s">
        <v>44</v>
      </c>
      <c r="C32" s="88">
        <v>1666</v>
      </c>
      <c r="D32" s="98"/>
    </row>
    <row r="33" spans="1:4" ht="12.75">
      <c r="A33" s="46">
        <v>16</v>
      </c>
      <c r="B33" s="17" t="s">
        <v>12</v>
      </c>
      <c r="C33" s="88">
        <f>399.5+3723.72</f>
        <v>4123.219999999999</v>
      </c>
      <c r="D33" s="98"/>
    </row>
    <row r="34" spans="1:5" ht="25.5">
      <c r="A34" s="46">
        <v>17</v>
      </c>
      <c r="B34" s="17" t="s">
        <v>128</v>
      </c>
      <c r="C34" s="88">
        <v>181.72</v>
      </c>
      <c r="D34" s="98"/>
      <c r="E34" t="s">
        <v>87</v>
      </c>
    </row>
    <row r="35" spans="1:4" ht="12.75">
      <c r="A35" s="46">
        <v>18</v>
      </c>
      <c r="B35" s="17" t="s">
        <v>133</v>
      </c>
      <c r="C35" s="88">
        <v>27797.13</v>
      </c>
      <c r="D35" s="98"/>
    </row>
    <row r="36" spans="1:3" ht="12.75">
      <c r="A36" s="32" t="s">
        <v>101</v>
      </c>
      <c r="B36" s="8" t="s">
        <v>24</v>
      </c>
      <c r="C36" s="85">
        <f>C15*0.06</f>
        <v>31193.3376</v>
      </c>
    </row>
    <row r="37" spans="1:3" ht="12.75">
      <c r="A37" s="33"/>
      <c r="B37" s="13" t="s">
        <v>93</v>
      </c>
      <c r="C37" s="120">
        <f>SUM(C18:C36)</f>
        <v>609234.3576</v>
      </c>
    </row>
    <row r="38" spans="1:3" ht="12.75">
      <c r="A38" s="32"/>
      <c r="B38" s="8" t="s">
        <v>48</v>
      </c>
      <c r="C38" s="100">
        <f>D15*10%</f>
        <v>66587.82900000001</v>
      </c>
    </row>
    <row r="39" spans="1:4" ht="13.5" thickBot="1">
      <c r="A39" s="39"/>
      <c r="B39" s="34" t="s">
        <v>69</v>
      </c>
      <c r="C39" s="109">
        <f>C37+C38</f>
        <v>675822.1866</v>
      </c>
      <c r="D39" s="21"/>
    </row>
    <row r="40" spans="1:4" ht="12.75">
      <c r="A40" s="16"/>
      <c r="B40" s="4"/>
      <c r="C40" s="99"/>
      <c r="D40" s="21"/>
    </row>
    <row r="41" spans="1:3" ht="15">
      <c r="A41" s="47" t="s">
        <v>14</v>
      </c>
      <c r="B41" s="111"/>
      <c r="C41" s="99">
        <f>C39-C15</f>
        <v>155933.2266</v>
      </c>
    </row>
    <row r="42" spans="1:3" ht="15">
      <c r="A42" s="16"/>
      <c r="B42" s="11"/>
      <c r="C42" s="87"/>
    </row>
    <row r="43" ht="12.75">
      <c r="B43" s="1" t="s">
        <v>71</v>
      </c>
    </row>
    <row r="44" ht="12.75">
      <c r="B44" s="1" t="s">
        <v>28</v>
      </c>
    </row>
    <row r="45" ht="12.75">
      <c r="B45" s="1"/>
    </row>
    <row r="46" spans="1:4" ht="12.75">
      <c r="A46" s="2"/>
      <c r="B46" s="2"/>
      <c r="C46" s="2" t="s">
        <v>75</v>
      </c>
      <c r="D46" s="2"/>
    </row>
    <row r="47" spans="1:4" ht="12.75">
      <c r="A47" s="2"/>
      <c r="B47" s="2"/>
      <c r="C47" s="2" t="s">
        <v>131</v>
      </c>
      <c r="D47" s="2"/>
    </row>
    <row r="48" spans="1:4" ht="13.5" thickBot="1">
      <c r="A48" s="25"/>
      <c r="B48" s="25" t="s">
        <v>68</v>
      </c>
      <c r="C48" s="23"/>
      <c r="D48" s="53"/>
    </row>
    <row r="49" spans="1:5" ht="12.75">
      <c r="A49" s="35" t="s">
        <v>95</v>
      </c>
      <c r="B49" s="27" t="s">
        <v>50</v>
      </c>
      <c r="C49" s="31">
        <f>C51+C53+C54+C52+27079.46+270525.91</f>
        <v>320190.86</v>
      </c>
      <c r="D49" s="12"/>
      <c r="E49" s="14"/>
    </row>
    <row r="50" spans="1:5" ht="12.75">
      <c r="A50" s="36"/>
      <c r="B50" s="6" t="s">
        <v>92</v>
      </c>
      <c r="C50" s="28"/>
      <c r="D50" s="12"/>
      <c r="E50" s="14"/>
    </row>
    <row r="51" spans="1:5" ht="12.75">
      <c r="A51" s="37" t="s">
        <v>85</v>
      </c>
      <c r="B51" s="6" t="s">
        <v>70</v>
      </c>
      <c r="C51" s="28">
        <f>5011+1587.09</f>
        <v>6598.09</v>
      </c>
      <c r="D51" s="12"/>
      <c r="E51" s="12"/>
    </row>
    <row r="52" spans="1:5" ht="12.75">
      <c r="A52" s="37" t="s">
        <v>85</v>
      </c>
      <c r="B52" s="40" t="s">
        <v>132</v>
      </c>
      <c r="C52" s="41">
        <v>2000</v>
      </c>
      <c r="D52" s="12"/>
      <c r="E52" s="12"/>
    </row>
    <row r="53" spans="1:5" ht="12.75">
      <c r="A53" s="37" t="s">
        <v>85</v>
      </c>
      <c r="B53" s="40" t="s">
        <v>124</v>
      </c>
      <c r="C53" s="41">
        <v>2120.99</v>
      </c>
      <c r="D53" s="12"/>
      <c r="E53" s="12"/>
    </row>
    <row r="54" spans="1:5" ht="13.5" thickBot="1">
      <c r="A54" s="49" t="s">
        <v>85</v>
      </c>
      <c r="B54" s="40" t="s">
        <v>126</v>
      </c>
      <c r="C54" s="41">
        <v>11866.41</v>
      </c>
      <c r="D54" s="12"/>
      <c r="E54" s="12"/>
    </row>
    <row r="55" spans="1:5" ht="12.75">
      <c r="A55" s="35" t="s">
        <v>116</v>
      </c>
      <c r="B55" s="27" t="s">
        <v>29</v>
      </c>
      <c r="C55" s="31">
        <f>C57+15452.77</f>
        <v>18818.77</v>
      </c>
      <c r="D55" s="12"/>
      <c r="E55" s="10"/>
    </row>
    <row r="56" spans="1:5" ht="12.75">
      <c r="A56" s="36"/>
      <c r="B56" s="6" t="s">
        <v>92</v>
      </c>
      <c r="C56" s="28"/>
      <c r="D56" s="12"/>
      <c r="E56" s="14"/>
    </row>
    <row r="57" spans="1:5" ht="13.5" thickBot="1">
      <c r="A57" s="38" t="s">
        <v>85</v>
      </c>
      <c r="B57" s="29" t="s">
        <v>70</v>
      </c>
      <c r="C57" s="30">
        <f>3366</f>
        <v>3366</v>
      </c>
      <c r="D57" s="12"/>
      <c r="E57" s="12"/>
    </row>
  </sheetData>
  <sheetProtection/>
  <mergeCells count="8">
    <mergeCell ref="A7:E7"/>
    <mergeCell ref="C8:E8"/>
    <mergeCell ref="A1:B1"/>
    <mergeCell ref="C1:E1"/>
    <mergeCell ref="C2:E2"/>
    <mergeCell ref="B3:E3"/>
    <mergeCell ref="A5:E5"/>
    <mergeCell ref="A6:E6"/>
  </mergeCells>
  <printOptions/>
  <pageMargins left="0.7086614173228347" right="0.11811023622047245" top="0.7480314960629921" bottom="0.7480314960629921" header="0.31496062992125984" footer="0.31496062992125984"/>
  <pageSetup fitToHeight="1" fitToWidth="1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2"/>
  <sheetViews>
    <sheetView zoomScalePageLayoutView="0" workbookViewId="0" topLeftCell="A168">
      <selection activeCell="A131" sqref="A131:IV131"/>
    </sheetView>
  </sheetViews>
  <sheetFormatPr defaultColWidth="9.00390625" defaultRowHeight="12.75"/>
  <cols>
    <col min="1" max="1" width="3.25390625" style="0" customWidth="1"/>
    <col min="2" max="2" width="56.00390625" style="0" customWidth="1"/>
    <col min="3" max="3" width="12.75390625" style="0" customWidth="1"/>
    <col min="4" max="4" width="13.00390625" style="0" customWidth="1"/>
    <col min="5" max="5" width="14.25390625" style="0" customWidth="1"/>
  </cols>
  <sheetData>
    <row r="1" spans="1:5" ht="12.75">
      <c r="A1" s="132"/>
      <c r="B1" s="132"/>
      <c r="C1" s="133" t="s">
        <v>84</v>
      </c>
      <c r="D1" s="134"/>
      <c r="E1" s="134"/>
    </row>
    <row r="2" spans="1:5" ht="14.25">
      <c r="A2" s="16"/>
      <c r="B2" s="104"/>
      <c r="C2" s="135" t="s">
        <v>20</v>
      </c>
      <c r="D2" s="136"/>
      <c r="E2" s="136"/>
    </row>
    <row r="3" spans="1:5" ht="14.25">
      <c r="A3" s="16"/>
      <c r="B3" s="135" t="s">
        <v>21</v>
      </c>
      <c r="C3" s="136"/>
      <c r="D3" s="136"/>
      <c r="E3" s="136"/>
    </row>
    <row r="4" spans="1:5" ht="12.75">
      <c r="A4" s="16"/>
      <c r="B4" s="24"/>
      <c r="C4" s="18"/>
      <c r="D4" s="18"/>
      <c r="E4" s="18"/>
    </row>
    <row r="5" spans="1:5" ht="18">
      <c r="A5" s="137" t="s">
        <v>33</v>
      </c>
      <c r="B5" s="130"/>
      <c r="C5" s="130"/>
      <c r="D5" s="130"/>
      <c r="E5" s="130"/>
    </row>
    <row r="6" spans="1:5" ht="15">
      <c r="A6" s="129" t="s">
        <v>34</v>
      </c>
      <c r="B6" s="131"/>
      <c r="C6" s="131"/>
      <c r="D6" s="131"/>
      <c r="E6" s="131"/>
    </row>
    <row r="7" spans="1:5" ht="15">
      <c r="A7" s="129"/>
      <c r="B7" s="130"/>
      <c r="C7" s="130"/>
      <c r="D7" s="130"/>
      <c r="E7" s="130"/>
    </row>
    <row r="8" spans="1:5" ht="15">
      <c r="A8" s="19"/>
      <c r="B8" s="20" t="s">
        <v>35</v>
      </c>
      <c r="C8" s="129"/>
      <c r="D8" s="131"/>
      <c r="E8" s="131"/>
    </row>
    <row r="9" spans="1:4" ht="15">
      <c r="A9" s="19"/>
      <c r="B9" s="20" t="s">
        <v>81</v>
      </c>
      <c r="C9" s="108">
        <v>2633</v>
      </c>
      <c r="D9" s="47" t="s">
        <v>82</v>
      </c>
    </row>
    <row r="10" spans="1:5" ht="13.5" thickBot="1">
      <c r="A10" s="16" t="s">
        <v>72</v>
      </c>
      <c r="B10" s="3" t="s">
        <v>73</v>
      </c>
      <c r="C10" s="10"/>
      <c r="D10" s="14"/>
      <c r="E10" s="22"/>
    </row>
    <row r="11" spans="1:5" ht="39" thickBot="1">
      <c r="A11" s="72"/>
      <c r="B11" s="73" t="s">
        <v>77</v>
      </c>
      <c r="C11" s="74" t="s">
        <v>78</v>
      </c>
      <c r="D11" s="75" t="s">
        <v>31</v>
      </c>
      <c r="E11" s="76" t="s">
        <v>79</v>
      </c>
    </row>
    <row r="12" spans="1:5" ht="12.75">
      <c r="A12" s="52">
        <v>1</v>
      </c>
      <c r="B12" s="59" t="s">
        <v>89</v>
      </c>
      <c r="C12" s="89">
        <v>335028.5</v>
      </c>
      <c r="D12" s="90">
        <v>456140.9</v>
      </c>
      <c r="E12" s="91">
        <f>D12-C12</f>
        <v>121112.40000000002</v>
      </c>
    </row>
    <row r="13" spans="1:5" ht="13.5" thickBot="1">
      <c r="A13" s="45">
        <v>2</v>
      </c>
      <c r="B13" s="5" t="s">
        <v>91</v>
      </c>
      <c r="C13" s="112">
        <f>2700+2800</f>
        <v>5500</v>
      </c>
      <c r="D13" s="113">
        <f>2700+2800</f>
        <v>5500</v>
      </c>
      <c r="E13" s="94">
        <f>D13-C13</f>
        <v>0</v>
      </c>
    </row>
    <row r="14" spans="1:5" ht="13.5" thickBot="1">
      <c r="A14" s="66"/>
      <c r="B14" s="67"/>
      <c r="C14" s="95">
        <f>SUM(C12:C13)</f>
        <v>340528.5</v>
      </c>
      <c r="D14" s="95">
        <f>SUM(D12:D13)</f>
        <v>461640.9</v>
      </c>
      <c r="E14" s="114">
        <f>SUM(E12:E13)</f>
        <v>121112.40000000002</v>
      </c>
    </row>
    <row r="15" spans="1:5" ht="12.75">
      <c r="A15" s="138" t="s">
        <v>67</v>
      </c>
      <c r="B15" s="131"/>
      <c r="C15" s="131"/>
      <c r="D15" s="131"/>
      <c r="E15" s="99">
        <v>269294.66</v>
      </c>
    </row>
    <row r="16" spans="1:2" ht="13.5" thickBot="1">
      <c r="A16" s="25"/>
      <c r="B16" s="3" t="s">
        <v>94</v>
      </c>
    </row>
    <row r="17" spans="1:3" ht="12.75">
      <c r="A17" s="101"/>
      <c r="B17" s="102" t="s">
        <v>76</v>
      </c>
      <c r="C17" s="103"/>
    </row>
    <row r="18" spans="1:4" ht="38.25">
      <c r="A18" s="46">
        <v>1</v>
      </c>
      <c r="B18" s="43" t="s">
        <v>36</v>
      </c>
      <c r="C18" s="88">
        <f>C48</f>
        <v>234017.43</v>
      </c>
      <c r="D18" s="21"/>
    </row>
    <row r="19" spans="1:4" ht="38.25">
      <c r="A19" s="46">
        <v>2</v>
      </c>
      <c r="B19" s="17" t="s">
        <v>22</v>
      </c>
      <c r="C19" s="83">
        <f>C53</f>
        <v>18527.86</v>
      </c>
      <c r="D19" s="98"/>
    </row>
    <row r="20" spans="1:4" ht="12.75">
      <c r="A20" s="44">
        <v>3</v>
      </c>
      <c r="B20" s="8" t="s">
        <v>86</v>
      </c>
      <c r="C20" s="85">
        <v>6872.91</v>
      </c>
      <c r="D20" s="98"/>
    </row>
    <row r="21" spans="1:4" ht="12.75">
      <c r="A21" s="46">
        <v>4</v>
      </c>
      <c r="B21" s="8" t="s">
        <v>98</v>
      </c>
      <c r="C21" s="85">
        <v>10184.1</v>
      </c>
      <c r="D21" s="98"/>
    </row>
    <row r="22" spans="1:4" ht="12.75">
      <c r="A22" s="44">
        <v>5</v>
      </c>
      <c r="B22" s="8" t="s">
        <v>37</v>
      </c>
      <c r="C22" s="84">
        <v>12779.7</v>
      </c>
      <c r="D22" s="98"/>
    </row>
    <row r="23" spans="1:4" ht="12.75">
      <c r="A23" s="44">
        <v>6</v>
      </c>
      <c r="B23" s="8" t="s">
        <v>38</v>
      </c>
      <c r="C23" s="84">
        <v>45831.44</v>
      </c>
      <c r="D23" s="98"/>
    </row>
    <row r="24" spans="1:4" ht="12.75">
      <c r="A24" s="44">
        <v>7</v>
      </c>
      <c r="B24" s="17" t="s">
        <v>96</v>
      </c>
      <c r="C24" s="82">
        <v>96.6</v>
      </c>
      <c r="D24" s="98"/>
    </row>
    <row r="25" spans="1:5" ht="12.75">
      <c r="A25" s="44">
        <v>8</v>
      </c>
      <c r="B25" s="17" t="s">
        <v>97</v>
      </c>
      <c r="C25" s="82">
        <v>338.12</v>
      </c>
      <c r="D25" s="98"/>
      <c r="E25" t="s">
        <v>87</v>
      </c>
    </row>
    <row r="26" spans="1:4" ht="25.5">
      <c r="A26" s="46">
        <v>9</v>
      </c>
      <c r="B26" s="17" t="s">
        <v>39</v>
      </c>
      <c r="C26" s="82">
        <v>51000</v>
      </c>
      <c r="D26" s="98"/>
    </row>
    <row r="27" spans="1:4" ht="12.75">
      <c r="A27" s="46">
        <v>10</v>
      </c>
      <c r="B27" s="17" t="s">
        <v>40</v>
      </c>
      <c r="C27" s="82">
        <v>1200</v>
      </c>
      <c r="D27" s="98"/>
    </row>
    <row r="28" spans="1:4" ht="25.5">
      <c r="A28" s="46">
        <v>11</v>
      </c>
      <c r="B28" s="17" t="s">
        <v>41</v>
      </c>
      <c r="C28" s="82">
        <v>4500</v>
      </c>
      <c r="D28" s="98"/>
    </row>
    <row r="29" spans="1:4" ht="25.5">
      <c r="A29" s="46">
        <v>12</v>
      </c>
      <c r="B29" s="17" t="s">
        <v>42</v>
      </c>
      <c r="C29" s="82">
        <v>1569.76</v>
      </c>
      <c r="D29" s="98"/>
    </row>
    <row r="30" spans="1:4" ht="25.5">
      <c r="A30" s="46">
        <v>13</v>
      </c>
      <c r="B30" s="17" t="s">
        <v>10</v>
      </c>
      <c r="C30" s="82">
        <v>724.5</v>
      </c>
      <c r="D30" s="98"/>
    </row>
    <row r="31" spans="1:4" ht="12.75">
      <c r="A31" s="46">
        <v>14</v>
      </c>
      <c r="B31" s="17" t="s">
        <v>43</v>
      </c>
      <c r="C31" s="82">
        <v>4869.76</v>
      </c>
      <c r="D31" s="98"/>
    </row>
    <row r="32" spans="1:4" ht="25.5">
      <c r="A32" s="46">
        <v>15</v>
      </c>
      <c r="B32" s="17" t="s">
        <v>44</v>
      </c>
      <c r="C32" s="82">
        <v>875</v>
      </c>
      <c r="D32" s="98"/>
    </row>
    <row r="33" spans="1:5" ht="12.75">
      <c r="A33" s="44">
        <v>16</v>
      </c>
      <c r="B33" s="17" t="s">
        <v>45</v>
      </c>
      <c r="C33" s="82">
        <v>686</v>
      </c>
      <c r="D33" s="98"/>
      <c r="E33" t="s">
        <v>87</v>
      </c>
    </row>
    <row r="34" spans="1:5" ht="12.75">
      <c r="A34" s="44">
        <v>17</v>
      </c>
      <c r="B34" s="17" t="s">
        <v>46</v>
      </c>
      <c r="C34" s="82">
        <v>306</v>
      </c>
      <c r="D34" s="98"/>
      <c r="E34" t="s">
        <v>87</v>
      </c>
    </row>
    <row r="35" spans="1:4" ht="25.5">
      <c r="A35" s="46">
        <v>18</v>
      </c>
      <c r="B35" s="17" t="s">
        <v>47</v>
      </c>
      <c r="C35" s="82">
        <v>500</v>
      </c>
      <c r="D35" s="98"/>
    </row>
    <row r="36" spans="1:3" ht="12.75">
      <c r="A36" s="33"/>
      <c r="B36" s="13" t="s">
        <v>93</v>
      </c>
      <c r="C36" s="86">
        <f>SUM(C18:C35)</f>
        <v>394879.18</v>
      </c>
    </row>
    <row r="37" spans="1:3" ht="12.75">
      <c r="A37" s="32"/>
      <c r="B37" s="8" t="s">
        <v>48</v>
      </c>
      <c r="C37" s="85">
        <f>(D14)*10%</f>
        <v>46164.090000000004</v>
      </c>
    </row>
    <row r="38" spans="1:4" ht="12.75">
      <c r="A38" s="7"/>
      <c r="B38" s="9" t="s">
        <v>69</v>
      </c>
      <c r="C38" s="115">
        <f>C36+C37</f>
        <v>441043.27</v>
      </c>
      <c r="D38" s="21"/>
    </row>
    <row r="39" spans="1:4" ht="12.75">
      <c r="A39" s="16"/>
      <c r="B39" s="4"/>
      <c r="C39" s="87"/>
      <c r="D39" s="21"/>
    </row>
    <row r="40" spans="1:3" ht="15">
      <c r="A40" s="47" t="s">
        <v>27</v>
      </c>
      <c r="B40" s="111"/>
      <c r="C40" s="87">
        <f>C38-C14</f>
        <v>100514.77000000002</v>
      </c>
    </row>
    <row r="41" spans="1:3" ht="15">
      <c r="A41" s="16"/>
      <c r="B41" s="11"/>
      <c r="C41" s="87"/>
    </row>
    <row r="42" ht="12.75">
      <c r="B42" s="1" t="s">
        <v>71</v>
      </c>
    </row>
    <row r="43" ht="12.75">
      <c r="B43" s="1" t="s">
        <v>28</v>
      </c>
    </row>
    <row r="44" ht="12.75">
      <c r="B44" s="1"/>
    </row>
    <row r="45" spans="1:4" ht="12.75">
      <c r="A45" s="2"/>
      <c r="B45" s="2"/>
      <c r="C45" s="2" t="s">
        <v>75</v>
      </c>
      <c r="D45" s="2"/>
    </row>
    <row r="46" spans="1:4" ht="12.75">
      <c r="A46" s="2"/>
      <c r="B46" s="2"/>
      <c r="C46" s="2" t="s">
        <v>49</v>
      </c>
      <c r="D46" s="2"/>
    </row>
    <row r="47" spans="1:5" ht="13.5" thickBot="1">
      <c r="A47" s="25"/>
      <c r="B47" s="25" t="s">
        <v>68</v>
      </c>
      <c r="C47" s="23" t="s">
        <v>83</v>
      </c>
      <c r="D47" s="53">
        <f>C9</f>
        <v>2633</v>
      </c>
      <c r="E47" t="s">
        <v>82</v>
      </c>
    </row>
    <row r="48" spans="1:5" ht="12.75">
      <c r="A48" s="35" t="s">
        <v>95</v>
      </c>
      <c r="B48" s="27" t="s">
        <v>50</v>
      </c>
      <c r="C48" s="31">
        <f>230842.91+C50+C52</f>
        <v>234017.43</v>
      </c>
      <c r="D48" s="12"/>
      <c r="E48" s="14"/>
    </row>
    <row r="49" spans="1:5" ht="12.75">
      <c r="A49" s="36"/>
      <c r="B49" s="6" t="s">
        <v>92</v>
      </c>
      <c r="C49" s="28"/>
      <c r="D49" s="12"/>
      <c r="E49" s="14"/>
    </row>
    <row r="50" spans="1:5" ht="12.75">
      <c r="A50" s="37" t="s">
        <v>85</v>
      </c>
      <c r="B50" s="6" t="s">
        <v>70</v>
      </c>
      <c r="C50" s="28">
        <v>1354.33</v>
      </c>
      <c r="D50" s="12"/>
      <c r="E50" s="12"/>
    </row>
    <row r="51" spans="1:5" ht="12.75">
      <c r="A51" s="37" t="s">
        <v>85</v>
      </c>
      <c r="B51" s="40" t="s">
        <v>51</v>
      </c>
      <c r="C51" s="41">
        <v>68.33</v>
      </c>
      <c r="D51" s="12"/>
      <c r="E51" s="12"/>
    </row>
    <row r="52" spans="1:5" ht="13.5" thickBot="1">
      <c r="A52" s="49" t="s">
        <v>85</v>
      </c>
      <c r="B52" s="40" t="s">
        <v>11</v>
      </c>
      <c r="C52" s="41">
        <f>1136.88+683.31</f>
        <v>1820.19</v>
      </c>
      <c r="D52" s="12"/>
      <c r="E52" s="12"/>
    </row>
    <row r="53" spans="1:5" ht="12.75">
      <c r="A53" s="35" t="s">
        <v>116</v>
      </c>
      <c r="B53" s="27" t="s">
        <v>29</v>
      </c>
      <c r="C53" s="31">
        <f>11747.86+C55</f>
        <v>18527.86</v>
      </c>
      <c r="D53" s="12"/>
      <c r="E53" s="10"/>
    </row>
    <row r="54" spans="1:5" ht="12.75">
      <c r="A54" s="36"/>
      <c r="B54" s="6" t="s">
        <v>92</v>
      </c>
      <c r="C54" s="28"/>
      <c r="D54" s="12"/>
      <c r="E54" s="14"/>
    </row>
    <row r="55" spans="1:5" ht="13.5" thickBot="1">
      <c r="A55" s="38" t="s">
        <v>85</v>
      </c>
      <c r="B55" s="29" t="s">
        <v>70</v>
      </c>
      <c r="C55" s="30">
        <v>6780</v>
      </c>
      <c r="D55" s="12"/>
      <c r="E55" s="12"/>
    </row>
    <row r="57" spans="1:5" ht="12.75">
      <c r="A57" s="132"/>
      <c r="B57" s="132"/>
      <c r="C57" s="133" t="s">
        <v>84</v>
      </c>
      <c r="D57" s="133"/>
      <c r="E57" s="133"/>
    </row>
    <row r="58" spans="1:5" ht="14.25">
      <c r="A58" s="16"/>
      <c r="B58" s="104"/>
      <c r="C58" s="135" t="s">
        <v>20</v>
      </c>
      <c r="D58" s="135"/>
      <c r="E58" s="135"/>
    </row>
    <row r="59" spans="1:5" ht="15" customHeight="1">
      <c r="A59" s="16"/>
      <c r="B59" s="135" t="s">
        <v>21</v>
      </c>
      <c r="C59" s="135"/>
      <c r="D59" s="135"/>
      <c r="E59" s="135"/>
    </row>
    <row r="60" spans="1:5" ht="12.75">
      <c r="A60" s="16"/>
      <c r="B60" s="24"/>
      <c r="C60" s="18"/>
      <c r="D60" s="18"/>
      <c r="E60" s="18"/>
    </row>
    <row r="61" spans="1:5" ht="18">
      <c r="A61" s="137" t="s">
        <v>88</v>
      </c>
      <c r="B61" s="137"/>
      <c r="C61" s="137"/>
      <c r="D61" s="137"/>
      <c r="E61" s="137"/>
    </row>
    <row r="62" spans="1:5" ht="15">
      <c r="A62" s="129" t="s">
        <v>103</v>
      </c>
      <c r="B62" s="129"/>
      <c r="C62" s="129"/>
      <c r="D62" s="129"/>
      <c r="E62" s="129"/>
    </row>
    <row r="63" spans="1:5" ht="15">
      <c r="A63" s="129"/>
      <c r="B63" s="129"/>
      <c r="C63" s="129"/>
      <c r="D63" s="129"/>
      <c r="E63" s="129"/>
    </row>
    <row r="64" spans="1:5" ht="15">
      <c r="A64" s="19"/>
      <c r="B64" s="20" t="s">
        <v>35</v>
      </c>
      <c r="C64" s="129"/>
      <c r="D64" s="129"/>
      <c r="E64" s="129"/>
    </row>
    <row r="65" spans="1:4" ht="15">
      <c r="A65" s="19"/>
      <c r="B65" s="20"/>
      <c r="C65" s="108"/>
      <c r="D65" s="47"/>
    </row>
    <row r="66" spans="1:5" ht="13.5" thickBot="1">
      <c r="A66" s="16" t="s">
        <v>72</v>
      </c>
      <c r="B66" s="3" t="s">
        <v>73</v>
      </c>
      <c r="C66" s="10"/>
      <c r="D66" s="14"/>
      <c r="E66" s="22"/>
    </row>
    <row r="67" spans="1:5" ht="39" thickBot="1">
      <c r="A67" s="72"/>
      <c r="B67" s="73" t="s">
        <v>77</v>
      </c>
      <c r="C67" s="74" t="s">
        <v>78</v>
      </c>
      <c r="D67" s="75" t="s">
        <v>31</v>
      </c>
      <c r="E67" s="76" t="s">
        <v>79</v>
      </c>
    </row>
    <row r="68" spans="1:5" ht="12.75">
      <c r="A68" s="52">
        <v>1</v>
      </c>
      <c r="B68" s="59" t="s">
        <v>89</v>
      </c>
      <c r="C68" s="89">
        <v>473483.67</v>
      </c>
      <c r="D68" s="90">
        <v>619334.12</v>
      </c>
      <c r="E68" s="91">
        <f>D68-C68</f>
        <v>145850.45</v>
      </c>
    </row>
    <row r="69" spans="1:5" ht="13.5" thickBot="1">
      <c r="A69" s="79">
        <v>2</v>
      </c>
      <c r="B69" s="48" t="s">
        <v>91</v>
      </c>
      <c r="C69" s="106">
        <f>3150+3850</f>
        <v>7000</v>
      </c>
      <c r="D69" s="107">
        <f>3600+3500</f>
        <v>7100</v>
      </c>
      <c r="E69" s="97">
        <f>D69-C69</f>
        <v>100</v>
      </c>
    </row>
    <row r="70" spans="1:5" ht="13.5" thickBot="1">
      <c r="A70" s="66"/>
      <c r="B70" s="67"/>
      <c r="C70" s="95">
        <f>SUM(C68:C69)</f>
        <v>480483.67</v>
      </c>
      <c r="D70" s="95">
        <f>SUM(D68:D69)</f>
        <v>626434.12</v>
      </c>
      <c r="E70" s="114">
        <f>SUM(E68:E69)</f>
        <v>145950.45</v>
      </c>
    </row>
    <row r="71" spans="1:5" ht="12.75">
      <c r="A71" s="26"/>
      <c r="B71" s="15"/>
      <c r="C71" s="119"/>
      <c r="D71" s="119"/>
      <c r="E71" s="119"/>
    </row>
    <row r="72" spans="1:2" ht="13.5" thickBot="1">
      <c r="A72" s="25"/>
      <c r="B72" s="3" t="s">
        <v>94</v>
      </c>
    </row>
    <row r="73" spans="1:3" ht="12.75">
      <c r="A73" s="101"/>
      <c r="B73" s="102" t="s">
        <v>76</v>
      </c>
      <c r="C73" s="103"/>
    </row>
    <row r="74" spans="1:4" ht="38.25">
      <c r="A74" s="46">
        <v>1</v>
      </c>
      <c r="B74" s="43" t="s">
        <v>13</v>
      </c>
      <c r="C74" s="88">
        <f>C110</f>
        <v>317087.45</v>
      </c>
      <c r="D74" s="21"/>
    </row>
    <row r="75" spans="1:4" ht="38.25">
      <c r="A75" s="46">
        <v>2</v>
      </c>
      <c r="B75" s="17" t="s">
        <v>22</v>
      </c>
      <c r="C75" s="83">
        <f>C115</f>
        <v>24685.57</v>
      </c>
      <c r="D75" s="98"/>
    </row>
    <row r="76" spans="1:4" ht="12.75">
      <c r="A76" s="44">
        <v>3</v>
      </c>
      <c r="B76" s="8" t="s">
        <v>86</v>
      </c>
      <c r="C76" s="100">
        <f>6872.91+2796.77</f>
        <v>9669.68</v>
      </c>
      <c r="D76" s="98"/>
    </row>
    <row r="77" spans="1:4" ht="12.75">
      <c r="A77" s="46">
        <v>4</v>
      </c>
      <c r="B77" s="8" t="s">
        <v>15</v>
      </c>
      <c r="C77" s="100">
        <v>12571</v>
      </c>
      <c r="D77" s="98"/>
    </row>
    <row r="78" spans="1:4" ht="12.75">
      <c r="A78" s="44">
        <v>5</v>
      </c>
      <c r="B78" s="8" t="s">
        <v>37</v>
      </c>
      <c r="C78" s="84">
        <v>15838.77</v>
      </c>
      <c r="D78" s="98"/>
    </row>
    <row r="79" spans="1:4" ht="12.75">
      <c r="A79" s="44">
        <v>6</v>
      </c>
      <c r="B79" s="8" t="s">
        <v>38</v>
      </c>
      <c r="C79" s="84">
        <v>63922.45</v>
      </c>
      <c r="D79" s="98"/>
    </row>
    <row r="80" spans="1:4" ht="12.75">
      <c r="A80" s="44">
        <v>7</v>
      </c>
      <c r="B80" s="17" t="s">
        <v>96</v>
      </c>
      <c r="C80" s="88">
        <v>144.9</v>
      </c>
      <c r="D80" s="98"/>
    </row>
    <row r="81" spans="1:5" ht="12.75">
      <c r="A81" s="44">
        <v>8</v>
      </c>
      <c r="B81" s="17" t="s">
        <v>97</v>
      </c>
      <c r="C81" s="88">
        <v>507.18</v>
      </c>
      <c r="D81" s="98"/>
      <c r="E81" t="s">
        <v>87</v>
      </c>
    </row>
    <row r="82" spans="1:4" ht="25.5">
      <c r="A82" s="46">
        <v>9</v>
      </c>
      <c r="B82" s="17" t="s">
        <v>39</v>
      </c>
      <c r="C82" s="88">
        <v>63000</v>
      </c>
      <c r="D82" s="98"/>
    </row>
    <row r="83" spans="1:4" ht="12.75">
      <c r="A83" s="46">
        <v>10</v>
      </c>
      <c r="B83" s="17" t="s">
        <v>40</v>
      </c>
      <c r="C83" s="88">
        <v>1200</v>
      </c>
      <c r="D83" s="98"/>
    </row>
    <row r="84" spans="1:4" ht="25.5">
      <c r="A84" s="46">
        <v>11</v>
      </c>
      <c r="B84" s="17" t="s">
        <v>41</v>
      </c>
      <c r="C84" s="88">
        <v>4500</v>
      </c>
      <c r="D84" s="98"/>
    </row>
    <row r="85" spans="1:4" ht="25.5">
      <c r="A85" s="46">
        <v>12</v>
      </c>
      <c r="B85" s="17" t="s">
        <v>42</v>
      </c>
      <c r="C85" s="88">
        <v>1569.76</v>
      </c>
      <c r="D85" s="98"/>
    </row>
    <row r="86" spans="1:4" ht="25.5">
      <c r="A86" s="46">
        <v>13</v>
      </c>
      <c r="B86" s="17" t="s">
        <v>10</v>
      </c>
      <c r="C86" s="88">
        <v>724.5</v>
      </c>
      <c r="D86" s="98"/>
    </row>
    <row r="87" spans="1:4" ht="12.75">
      <c r="A87" s="46">
        <v>14</v>
      </c>
      <c r="B87" s="17" t="s">
        <v>0</v>
      </c>
      <c r="C87" s="88">
        <v>4869.76</v>
      </c>
      <c r="D87" s="98"/>
    </row>
    <row r="88" spans="1:4" ht="25.5">
      <c r="A88" s="46">
        <v>15</v>
      </c>
      <c r="B88" s="17" t="s">
        <v>44</v>
      </c>
      <c r="C88" s="88">
        <v>875</v>
      </c>
      <c r="D88" s="98"/>
    </row>
    <row r="89" spans="1:4" ht="12.75">
      <c r="A89" s="46">
        <v>16</v>
      </c>
      <c r="B89" s="17" t="s">
        <v>12</v>
      </c>
      <c r="C89" s="88">
        <f>7846.62+2945.05</f>
        <v>10791.67</v>
      </c>
      <c r="D89" s="98"/>
    </row>
    <row r="90" spans="1:5" ht="12.75">
      <c r="A90" s="44">
        <v>17</v>
      </c>
      <c r="B90" s="17" t="s">
        <v>45</v>
      </c>
      <c r="C90" s="88">
        <v>686</v>
      </c>
      <c r="D90" s="98"/>
      <c r="E90" t="s">
        <v>87</v>
      </c>
    </row>
    <row r="91" spans="1:5" ht="12.75">
      <c r="A91" s="44">
        <v>18</v>
      </c>
      <c r="B91" s="17" t="s">
        <v>46</v>
      </c>
      <c r="C91" s="88">
        <v>306</v>
      </c>
      <c r="D91" s="98"/>
      <c r="E91" t="s">
        <v>87</v>
      </c>
    </row>
    <row r="92" spans="1:4" ht="12.75">
      <c r="A92" s="44">
        <v>19</v>
      </c>
      <c r="B92" s="17" t="s">
        <v>17</v>
      </c>
      <c r="C92" s="88">
        <v>3521.5</v>
      </c>
      <c r="D92" s="98"/>
    </row>
    <row r="93" spans="1:3" ht="12.75">
      <c r="A93" s="32" t="s">
        <v>108</v>
      </c>
      <c r="B93" s="8" t="s">
        <v>24</v>
      </c>
      <c r="C93" s="85">
        <f>C70*0.06</f>
        <v>28829.0202</v>
      </c>
    </row>
    <row r="94" spans="1:3" ht="12.75">
      <c r="A94" s="51" t="s">
        <v>109</v>
      </c>
      <c r="B94" s="61" t="s">
        <v>90</v>
      </c>
      <c r="C94" s="124">
        <v>4455.53</v>
      </c>
    </row>
    <row r="95" spans="1:4" ht="25.5">
      <c r="A95" s="46">
        <v>22</v>
      </c>
      <c r="B95" s="17" t="s">
        <v>47</v>
      </c>
      <c r="C95" s="88">
        <v>500</v>
      </c>
      <c r="D95" s="98"/>
    </row>
    <row r="96" spans="1:5" ht="12.75">
      <c r="A96" s="46">
        <v>23</v>
      </c>
      <c r="B96" s="17" t="s">
        <v>32</v>
      </c>
      <c r="C96" s="82">
        <f>60.38*12</f>
        <v>724.5600000000001</v>
      </c>
      <c r="D96" s="98"/>
      <c r="E96" t="s">
        <v>64</v>
      </c>
    </row>
    <row r="97" spans="1:4" ht="12.75">
      <c r="A97" s="44">
        <v>24</v>
      </c>
      <c r="B97" s="17" t="s">
        <v>65</v>
      </c>
      <c r="C97" s="82">
        <f>398.48*12</f>
        <v>4781.76</v>
      </c>
      <c r="D97" s="98"/>
    </row>
    <row r="98" spans="1:3" ht="12.75">
      <c r="A98" s="33"/>
      <c r="B98" s="13" t="s">
        <v>93</v>
      </c>
      <c r="C98" s="120">
        <f>SUM(C74:C97)</f>
        <v>575762.0602000002</v>
      </c>
    </row>
    <row r="99" spans="1:3" ht="12.75">
      <c r="A99" s="32"/>
      <c r="B99" s="8" t="s">
        <v>48</v>
      </c>
      <c r="C99" s="100">
        <f>D70*10%</f>
        <v>62643.412000000004</v>
      </c>
    </row>
    <row r="100" spans="1:4" ht="13.5" thickBot="1">
      <c r="A100" s="39"/>
      <c r="B100" s="34" t="s">
        <v>69</v>
      </c>
      <c r="C100" s="109">
        <f>C98+C99</f>
        <v>638405.4722000002</v>
      </c>
      <c r="D100" s="21"/>
    </row>
    <row r="101" spans="1:4" ht="12.75">
      <c r="A101" s="16"/>
      <c r="B101" s="4"/>
      <c r="C101" s="99"/>
      <c r="D101" s="21"/>
    </row>
    <row r="102" spans="1:3" ht="15">
      <c r="A102" s="47" t="s">
        <v>14</v>
      </c>
      <c r="B102" s="111"/>
      <c r="C102" s="99">
        <f>C100-C70</f>
        <v>157921.8022000002</v>
      </c>
    </row>
    <row r="103" spans="1:3" ht="15">
      <c r="A103" s="16"/>
      <c r="B103" s="11"/>
      <c r="C103" s="87"/>
    </row>
    <row r="104" ht="12.75">
      <c r="B104" s="1" t="s">
        <v>71</v>
      </c>
    </row>
    <row r="105" ht="12.75">
      <c r="B105" s="1" t="s">
        <v>28</v>
      </c>
    </row>
    <row r="106" ht="12.75">
      <c r="B106" s="1"/>
    </row>
    <row r="107" spans="1:4" ht="12.75">
      <c r="A107" s="2"/>
      <c r="B107" s="2"/>
      <c r="C107" s="2" t="s">
        <v>75</v>
      </c>
      <c r="D107" s="2"/>
    </row>
    <row r="108" spans="1:4" ht="12.75">
      <c r="A108" s="2"/>
      <c r="B108" s="2"/>
      <c r="C108" s="2" t="s">
        <v>49</v>
      </c>
      <c r="D108" s="2"/>
    </row>
    <row r="109" spans="1:4" ht="13.5" thickBot="1">
      <c r="A109" s="25"/>
      <c r="B109" s="25" t="s">
        <v>68</v>
      </c>
      <c r="C109" s="23"/>
      <c r="D109" s="53"/>
    </row>
    <row r="110" spans="1:5" ht="12.75">
      <c r="A110" s="35" t="s">
        <v>95</v>
      </c>
      <c r="B110" s="27" t="s">
        <v>50</v>
      </c>
      <c r="C110" s="31">
        <f>312010.6+C112+C113+C114</f>
        <v>317087.45</v>
      </c>
      <c r="D110" s="12"/>
      <c r="E110" s="14"/>
    </row>
    <row r="111" spans="1:5" ht="12.75">
      <c r="A111" s="36"/>
      <c r="B111" s="6" t="s">
        <v>92</v>
      </c>
      <c r="C111" s="28"/>
      <c r="D111" s="12"/>
      <c r="E111" s="14"/>
    </row>
    <row r="112" spans="1:5" ht="12.75">
      <c r="A112" s="37" t="s">
        <v>85</v>
      </c>
      <c r="B112" s="6" t="s">
        <v>70</v>
      </c>
      <c r="C112" s="28">
        <v>3188.33</v>
      </c>
      <c r="D112" s="12"/>
      <c r="E112" s="12"/>
    </row>
    <row r="113" spans="1:5" ht="12.75">
      <c r="A113" s="37" t="s">
        <v>85</v>
      </c>
      <c r="B113" s="40" t="s">
        <v>51</v>
      </c>
      <c r="C113" s="41">
        <v>68.33</v>
      </c>
      <c r="D113" s="12"/>
      <c r="E113" s="12"/>
    </row>
    <row r="114" spans="1:5" ht="13.5" thickBot="1">
      <c r="A114" s="49" t="s">
        <v>85</v>
      </c>
      <c r="B114" s="40" t="s">
        <v>104</v>
      </c>
      <c r="C114" s="41">
        <f>1136.88+683.31</f>
        <v>1820.19</v>
      </c>
      <c r="D114" s="12"/>
      <c r="E114" s="12"/>
    </row>
    <row r="115" spans="1:5" ht="12.75">
      <c r="A115" s="35" t="s">
        <v>116</v>
      </c>
      <c r="B115" s="27" t="s">
        <v>29</v>
      </c>
      <c r="C115" s="31">
        <f>17331.57+C117</f>
        <v>24685.57</v>
      </c>
      <c r="D115" s="12"/>
      <c r="E115" s="10"/>
    </row>
    <row r="116" spans="1:5" ht="12.75">
      <c r="A116" s="36"/>
      <c r="B116" s="6" t="s">
        <v>92</v>
      </c>
      <c r="C116" s="28"/>
      <c r="D116" s="12"/>
      <c r="E116" s="14"/>
    </row>
    <row r="117" spans="1:5" ht="13.5" thickBot="1">
      <c r="A117" s="38" t="s">
        <v>85</v>
      </c>
      <c r="B117" s="29" t="s">
        <v>70</v>
      </c>
      <c r="C117" s="30">
        <v>7354</v>
      </c>
      <c r="D117" s="12"/>
      <c r="E117" s="12"/>
    </row>
    <row r="119" spans="1:5" ht="12.75">
      <c r="A119" s="132"/>
      <c r="B119" s="132"/>
      <c r="C119" s="133" t="s">
        <v>84</v>
      </c>
      <c r="D119" s="134"/>
      <c r="E119" s="134"/>
    </row>
    <row r="120" spans="1:5" ht="14.25">
      <c r="A120" s="16"/>
      <c r="B120" s="104"/>
      <c r="C120" s="135" t="s">
        <v>20</v>
      </c>
      <c r="D120" s="136"/>
      <c r="E120" s="136"/>
    </row>
    <row r="121" spans="1:5" ht="14.25">
      <c r="A121" s="16"/>
      <c r="B121" s="135" t="s">
        <v>21</v>
      </c>
      <c r="C121" s="136"/>
      <c r="D121" s="136"/>
      <c r="E121" s="136"/>
    </row>
    <row r="122" spans="1:5" ht="12.75">
      <c r="A122" s="16"/>
      <c r="B122" s="24"/>
      <c r="C122" s="18"/>
      <c r="D122" s="18"/>
      <c r="E122" s="18"/>
    </row>
    <row r="123" spans="1:5" ht="18">
      <c r="A123" s="137" t="s">
        <v>88</v>
      </c>
      <c r="B123" s="130"/>
      <c r="C123" s="130"/>
      <c r="D123" s="130"/>
      <c r="E123" s="130"/>
    </row>
    <row r="124" spans="1:5" ht="15">
      <c r="A124" s="129" t="s">
        <v>120</v>
      </c>
      <c r="B124" s="131"/>
      <c r="C124" s="131"/>
      <c r="D124" s="131"/>
      <c r="E124" s="131"/>
    </row>
    <row r="125" spans="1:5" ht="15">
      <c r="A125" s="129"/>
      <c r="B125" s="130"/>
      <c r="C125" s="130"/>
      <c r="D125" s="130"/>
      <c r="E125" s="130"/>
    </row>
    <row r="126" spans="1:5" ht="15">
      <c r="A126" s="19"/>
      <c r="B126" s="20" t="s">
        <v>35</v>
      </c>
      <c r="C126" s="129"/>
      <c r="D126" s="131"/>
      <c r="E126" s="131"/>
    </row>
    <row r="127" spans="1:4" ht="15">
      <c r="A127" s="19"/>
      <c r="B127" s="20"/>
      <c r="C127" s="108"/>
      <c r="D127" s="47"/>
    </row>
    <row r="128" spans="1:5" ht="13.5" thickBot="1">
      <c r="A128" s="16" t="s">
        <v>72</v>
      </c>
      <c r="B128" s="3" t="s">
        <v>73</v>
      </c>
      <c r="C128" s="10"/>
      <c r="D128" s="14"/>
      <c r="E128" s="22"/>
    </row>
    <row r="129" spans="1:5" ht="39" thickBot="1">
      <c r="A129" s="72"/>
      <c r="B129" s="73" t="s">
        <v>77</v>
      </c>
      <c r="C129" s="74" t="s">
        <v>78</v>
      </c>
      <c r="D129" s="75" t="s">
        <v>31</v>
      </c>
      <c r="E129" s="76" t="s">
        <v>79</v>
      </c>
    </row>
    <row r="130" spans="1:5" ht="12.75">
      <c r="A130" s="52">
        <v>1</v>
      </c>
      <c r="B130" s="59" t="s">
        <v>89</v>
      </c>
      <c r="C130" s="89">
        <v>500259.66</v>
      </c>
      <c r="D130" s="90">
        <f>458721.42-281.35</f>
        <v>458440.07</v>
      </c>
      <c r="E130" s="91">
        <f>D130-C130</f>
        <v>-41819.58999999997</v>
      </c>
    </row>
    <row r="131" spans="1:5" ht="12.75">
      <c r="A131" s="44">
        <v>2</v>
      </c>
      <c r="B131" s="5" t="s">
        <v>74</v>
      </c>
      <c r="C131" s="92">
        <v>20193.3</v>
      </c>
      <c r="D131" s="93">
        <f>30859.12-45.56</f>
        <v>30813.559999999998</v>
      </c>
      <c r="E131" s="94">
        <f>D131-C131</f>
        <v>10620.259999999998</v>
      </c>
    </row>
    <row r="132" spans="1:5" ht="13.5" thickBot="1">
      <c r="A132" s="79">
        <v>3</v>
      </c>
      <c r="B132" s="48" t="s">
        <v>91</v>
      </c>
      <c r="C132" s="106">
        <f>1350+4500+2100+20000</f>
        <v>27950</v>
      </c>
      <c r="D132" s="107">
        <f>450+1350+3600+2100+20000</f>
        <v>27500</v>
      </c>
      <c r="E132" s="97">
        <f>D132-C132</f>
        <v>-450</v>
      </c>
    </row>
    <row r="133" spans="1:5" ht="13.5" thickBot="1">
      <c r="A133" s="77"/>
      <c r="B133" s="78"/>
      <c r="C133" s="105">
        <f>SUM(C130:C132)</f>
        <v>548402.96</v>
      </c>
      <c r="D133" s="105">
        <f>SUM(D130:D132)</f>
        <v>516753.63</v>
      </c>
      <c r="E133" s="118">
        <f>SUM(E130:E132)</f>
        <v>-31649.32999999997</v>
      </c>
    </row>
    <row r="134" spans="1:5" ht="12.75">
      <c r="A134" s="138" t="s">
        <v>66</v>
      </c>
      <c r="B134" s="139"/>
      <c r="C134" s="139"/>
      <c r="D134" s="139"/>
      <c r="E134" s="110">
        <f>E192</f>
        <v>114301.12000000004</v>
      </c>
    </row>
    <row r="135" spans="1:5" ht="12.75">
      <c r="A135" s="26"/>
      <c r="B135" s="15"/>
      <c r="C135" s="119"/>
      <c r="D135" s="119"/>
      <c r="E135" s="119"/>
    </row>
    <row r="136" spans="1:2" ht="13.5" thickBot="1">
      <c r="A136" s="25"/>
      <c r="B136" s="3" t="s">
        <v>94</v>
      </c>
    </row>
    <row r="137" spans="1:3" ht="12.75">
      <c r="A137" s="101"/>
      <c r="B137" s="102" t="s">
        <v>76</v>
      </c>
      <c r="C137" s="103"/>
    </row>
    <row r="138" spans="1:4" ht="38.25">
      <c r="A138" s="46">
        <v>1</v>
      </c>
      <c r="B138" s="43" t="s">
        <v>13</v>
      </c>
      <c r="C138" s="88">
        <f>C170</f>
        <v>237804.13</v>
      </c>
      <c r="D138" s="21"/>
    </row>
    <row r="139" spans="1:4" ht="38.25">
      <c r="A139" s="46">
        <v>2</v>
      </c>
      <c r="B139" s="17" t="s">
        <v>22</v>
      </c>
      <c r="C139" s="83">
        <f>C177</f>
        <v>16981.41</v>
      </c>
      <c r="D139" s="98"/>
    </row>
    <row r="140" spans="1:4" ht="12.75">
      <c r="A140" s="44">
        <v>3</v>
      </c>
      <c r="B140" s="8" t="s">
        <v>86</v>
      </c>
      <c r="C140" s="100">
        <v>2205.89</v>
      </c>
      <c r="D140" s="98"/>
    </row>
    <row r="141" spans="1:4" ht="12.75">
      <c r="A141" s="46">
        <v>4</v>
      </c>
      <c r="B141" s="8" t="s">
        <v>15</v>
      </c>
      <c r="C141" s="100">
        <v>11934.5</v>
      </c>
      <c r="D141" s="98"/>
    </row>
    <row r="142" spans="1:4" ht="12.75">
      <c r="A142" s="44">
        <v>5</v>
      </c>
      <c r="B142" s="8" t="s">
        <v>37</v>
      </c>
      <c r="C142" s="84">
        <v>19215.76</v>
      </c>
      <c r="D142" s="98"/>
    </row>
    <row r="143" spans="1:4" ht="12.75">
      <c r="A143" s="44">
        <v>6</v>
      </c>
      <c r="B143" s="8" t="s">
        <v>38</v>
      </c>
      <c r="C143" s="84">
        <v>42702.63</v>
      </c>
      <c r="D143" s="98"/>
    </row>
    <row r="144" spans="1:4" ht="12.75">
      <c r="A144" s="44">
        <v>7</v>
      </c>
      <c r="B144" s="17" t="s">
        <v>96</v>
      </c>
      <c r="C144" s="88">
        <v>-144.9</v>
      </c>
      <c r="D144" s="98"/>
    </row>
    <row r="145" spans="1:5" ht="12.75">
      <c r="A145" s="44">
        <v>8</v>
      </c>
      <c r="B145" s="17" t="s">
        <v>97</v>
      </c>
      <c r="C145" s="88">
        <v>845.3</v>
      </c>
      <c r="D145" s="98"/>
      <c r="E145" t="s">
        <v>87</v>
      </c>
    </row>
    <row r="146" spans="1:4" ht="12.75">
      <c r="A146" s="46">
        <v>9</v>
      </c>
      <c r="B146" s="50" t="s">
        <v>139</v>
      </c>
      <c r="C146" s="88">
        <v>54000</v>
      </c>
      <c r="D146" s="98"/>
    </row>
    <row r="147" spans="1:4" ht="12.75">
      <c r="A147" s="46">
        <v>10</v>
      </c>
      <c r="B147" s="17" t="s">
        <v>127</v>
      </c>
      <c r="C147" s="88">
        <v>1786.07</v>
      </c>
      <c r="D147" s="98"/>
    </row>
    <row r="148" spans="1:4" ht="12.75">
      <c r="A148" s="46">
        <v>11</v>
      </c>
      <c r="B148" s="50" t="s">
        <v>125</v>
      </c>
      <c r="C148" s="88">
        <v>4500</v>
      </c>
      <c r="D148" s="98"/>
    </row>
    <row r="149" spans="1:4" ht="25.5">
      <c r="A149" s="46">
        <v>12</v>
      </c>
      <c r="B149" s="17" t="s">
        <v>118</v>
      </c>
      <c r="C149" s="88">
        <v>112</v>
      </c>
      <c r="D149" s="98"/>
    </row>
    <row r="150" spans="1:4" ht="12.75">
      <c r="A150" s="46">
        <v>13</v>
      </c>
      <c r="B150" s="17" t="s">
        <v>133</v>
      </c>
      <c r="C150" s="88">
        <v>38047.45</v>
      </c>
      <c r="D150" s="98"/>
    </row>
    <row r="151" spans="1:4" ht="25.5">
      <c r="A151" s="46">
        <v>14</v>
      </c>
      <c r="B151" s="17" t="s">
        <v>44</v>
      </c>
      <c r="C151" s="88">
        <v>500</v>
      </c>
      <c r="D151" s="98"/>
    </row>
    <row r="152" spans="1:4" ht="12.75">
      <c r="A152" s="46">
        <v>15</v>
      </c>
      <c r="B152" s="17" t="s">
        <v>12</v>
      </c>
      <c r="C152" s="88">
        <f>379.77+534.06</f>
        <v>913.8299999999999</v>
      </c>
      <c r="D152" s="98"/>
    </row>
    <row r="153" spans="1:5" ht="25.5">
      <c r="A153" s="46">
        <v>16</v>
      </c>
      <c r="B153" s="17" t="s">
        <v>128</v>
      </c>
      <c r="C153" s="88">
        <v>181.72</v>
      </c>
      <c r="D153" s="98"/>
      <c r="E153" t="s">
        <v>87</v>
      </c>
    </row>
    <row r="154" spans="1:5" ht="12.75">
      <c r="A154" s="46">
        <v>17</v>
      </c>
      <c r="B154" s="17" t="s">
        <v>129</v>
      </c>
      <c r="C154" s="88">
        <v>18751.28</v>
      </c>
      <c r="D154" s="98"/>
      <c r="E154" t="s">
        <v>87</v>
      </c>
    </row>
    <row r="155" spans="1:3" ht="12.75">
      <c r="A155" s="46">
        <v>18</v>
      </c>
      <c r="B155" s="8" t="s">
        <v>24</v>
      </c>
      <c r="C155" s="85">
        <f>C133*0.06</f>
        <v>32904.177599999995</v>
      </c>
    </row>
    <row r="156" spans="1:3" ht="12.75">
      <c r="A156" s="46">
        <v>19</v>
      </c>
      <c r="B156" s="61" t="s">
        <v>90</v>
      </c>
      <c r="C156" s="124">
        <v>4686.74</v>
      </c>
    </row>
    <row r="157" spans="1:3" ht="12.75">
      <c r="A157" s="33"/>
      <c r="B157" s="13" t="s">
        <v>93</v>
      </c>
      <c r="C157" s="120">
        <f>SUM(C138:C156)</f>
        <v>487927.98760000005</v>
      </c>
    </row>
    <row r="158" spans="1:3" ht="12.75">
      <c r="A158" s="32"/>
      <c r="B158" s="8" t="s">
        <v>48</v>
      </c>
      <c r="C158" s="100">
        <f>D133*10%</f>
        <v>51675.363000000005</v>
      </c>
    </row>
    <row r="159" spans="1:4" ht="13.5" thickBot="1">
      <c r="A159" s="39"/>
      <c r="B159" s="34" t="s">
        <v>69</v>
      </c>
      <c r="C159" s="109">
        <f>C157+C158</f>
        <v>539603.3506</v>
      </c>
      <c r="D159" s="21"/>
    </row>
    <row r="160" spans="1:4" ht="12.75">
      <c r="A160" s="16"/>
      <c r="B160" s="4"/>
      <c r="C160" s="99"/>
      <c r="D160" s="21"/>
    </row>
    <row r="161" spans="1:3" ht="15">
      <c r="A161" s="47" t="s">
        <v>14</v>
      </c>
      <c r="B161" s="111"/>
      <c r="C161" s="99">
        <v>157921.8</v>
      </c>
    </row>
    <row r="162" spans="1:3" ht="15">
      <c r="A162" s="47" t="s">
        <v>119</v>
      </c>
      <c r="B162" s="111"/>
      <c r="C162" s="87">
        <f>-(C133-C159+(-C161))</f>
        <v>149122.19060000003</v>
      </c>
    </row>
    <row r="163" spans="1:3" ht="15">
      <c r="A163" s="16"/>
      <c r="B163" s="11"/>
      <c r="C163" s="87"/>
    </row>
    <row r="164" ht="12.75">
      <c r="B164" s="1" t="s">
        <v>71</v>
      </c>
    </row>
    <row r="165" ht="12.75">
      <c r="B165" s="1" t="s">
        <v>28</v>
      </c>
    </row>
    <row r="166" ht="12.75">
      <c r="B166" s="1"/>
    </row>
    <row r="167" spans="1:4" ht="12.75">
      <c r="A167" s="2"/>
      <c r="B167" s="2"/>
      <c r="C167" s="2" t="s">
        <v>75</v>
      </c>
      <c r="D167" s="2"/>
    </row>
    <row r="168" spans="1:4" ht="12.75">
      <c r="A168" s="2"/>
      <c r="B168" s="2"/>
      <c r="C168" s="2" t="s">
        <v>49</v>
      </c>
      <c r="D168" s="2"/>
    </row>
    <row r="169" spans="1:4" ht="13.5" thickBot="1">
      <c r="A169" s="25"/>
      <c r="B169" s="25" t="s">
        <v>68</v>
      </c>
      <c r="C169" s="23"/>
      <c r="D169" s="53"/>
    </row>
    <row r="170" spans="1:5" ht="12.75">
      <c r="A170" s="35" t="s">
        <v>95</v>
      </c>
      <c r="B170" s="27" t="s">
        <v>50</v>
      </c>
      <c r="C170" s="31">
        <f>C172+C173+C174+C175+C176+194281.44</f>
        <v>237804.13</v>
      </c>
      <c r="D170" s="12"/>
      <c r="E170" s="14"/>
    </row>
    <row r="171" spans="1:5" ht="12.75">
      <c r="A171" s="36"/>
      <c r="B171" s="6" t="s">
        <v>92</v>
      </c>
      <c r="C171" s="28"/>
      <c r="D171" s="12"/>
      <c r="E171" s="14"/>
    </row>
    <row r="172" spans="1:5" ht="12.75">
      <c r="A172" s="37" t="s">
        <v>85</v>
      </c>
      <c r="B172" s="6" t="s">
        <v>70</v>
      </c>
      <c r="C172" s="28">
        <v>1028.12</v>
      </c>
      <c r="D172" s="12"/>
      <c r="E172" s="12"/>
    </row>
    <row r="173" spans="1:5" ht="12.75">
      <c r="A173" s="37" t="s">
        <v>85</v>
      </c>
      <c r="B173" s="40" t="s">
        <v>134</v>
      </c>
      <c r="C173" s="41">
        <v>15000</v>
      </c>
      <c r="D173" s="12"/>
      <c r="E173" s="12"/>
    </row>
    <row r="174" spans="1:5" ht="12.75">
      <c r="A174" s="37" t="s">
        <v>85</v>
      </c>
      <c r="B174" s="40" t="s">
        <v>124</v>
      </c>
      <c r="C174" s="41">
        <v>2016.24</v>
      </c>
      <c r="D174" s="12"/>
      <c r="E174" s="12"/>
    </row>
    <row r="175" spans="1:5" ht="12.75">
      <c r="A175" s="49" t="s">
        <v>85</v>
      </c>
      <c r="B175" s="40" t="s">
        <v>135</v>
      </c>
      <c r="C175" s="41">
        <v>14198</v>
      </c>
      <c r="D175" s="12"/>
      <c r="E175" s="12"/>
    </row>
    <row r="176" spans="1:5" ht="13.5" thickBot="1">
      <c r="A176" s="49" t="s">
        <v>85</v>
      </c>
      <c r="B176" s="40" t="s">
        <v>126</v>
      </c>
      <c r="C176" s="41">
        <v>11280.33</v>
      </c>
      <c r="D176" s="12"/>
      <c r="E176" s="12"/>
    </row>
    <row r="177" spans="1:5" ht="12.75">
      <c r="A177" s="35" t="s">
        <v>116</v>
      </c>
      <c r="B177" s="27" t="s">
        <v>29</v>
      </c>
      <c r="C177" s="31">
        <f>C179+12342.11</f>
        <v>16981.41</v>
      </c>
      <c r="D177" s="12"/>
      <c r="E177" s="10"/>
    </row>
    <row r="178" spans="1:5" ht="12.75">
      <c r="A178" s="36"/>
      <c r="B178" s="6" t="s">
        <v>92</v>
      </c>
      <c r="C178" s="28"/>
      <c r="D178" s="12"/>
      <c r="E178" s="14"/>
    </row>
    <row r="179" spans="1:5" ht="13.5" thickBot="1">
      <c r="A179" s="38" t="s">
        <v>85</v>
      </c>
      <c r="B179" s="29" t="s">
        <v>70</v>
      </c>
      <c r="C179" s="30">
        <f>3678+961.3</f>
        <v>4639.3</v>
      </c>
      <c r="D179" s="12"/>
      <c r="E179" s="12"/>
    </row>
    <row r="180" ht="13.5" thickBot="1"/>
    <row r="181" spans="2:5" ht="24.75" thickBot="1">
      <c r="B181" s="60"/>
      <c r="C181" s="65" t="s">
        <v>78</v>
      </c>
      <c r="D181" s="71" t="s">
        <v>31</v>
      </c>
      <c r="E181" s="56" t="s">
        <v>30</v>
      </c>
    </row>
    <row r="182" spans="2:5" ht="13.5" thickBot="1">
      <c r="B182" s="140" t="s">
        <v>136</v>
      </c>
      <c r="C182" s="141"/>
      <c r="D182" s="141"/>
      <c r="E182" s="142"/>
    </row>
    <row r="183" spans="2:5" ht="12.75">
      <c r="B183" s="58" t="s">
        <v>89</v>
      </c>
      <c r="C183" s="127">
        <v>473483.67</v>
      </c>
      <c r="D183" s="127">
        <v>619334.12</v>
      </c>
      <c r="E183" s="68">
        <f>D183-C183</f>
        <v>145850.45</v>
      </c>
    </row>
    <row r="184" spans="2:5" ht="13.5" thickBot="1">
      <c r="B184" s="63" t="s">
        <v>91</v>
      </c>
      <c r="C184" s="128">
        <f>3150+3850</f>
        <v>7000</v>
      </c>
      <c r="D184" s="128">
        <f>3600+3500</f>
        <v>7100</v>
      </c>
      <c r="E184" s="70">
        <f>D184-C184</f>
        <v>100</v>
      </c>
    </row>
    <row r="185" spans="2:5" ht="13.5" thickBot="1">
      <c r="B185" s="55"/>
      <c r="C185" s="81">
        <f>SUM(C183:C184)</f>
        <v>480483.67</v>
      </c>
      <c r="D185" s="81">
        <f>SUM(D183:D184)</f>
        <v>626434.12</v>
      </c>
      <c r="E185" s="57">
        <f>SUM(E183:E184)</f>
        <v>145950.45</v>
      </c>
    </row>
    <row r="186" spans="2:5" ht="13.5" thickBot="1">
      <c r="B186" s="140" t="s">
        <v>137</v>
      </c>
      <c r="C186" s="141"/>
      <c r="D186" s="141"/>
      <c r="E186" s="142"/>
    </row>
    <row r="187" spans="2:5" ht="12.75">
      <c r="B187" s="58" t="s">
        <v>89</v>
      </c>
      <c r="C187" s="127">
        <v>500259.66</v>
      </c>
      <c r="D187" s="127">
        <f>458721.42-281.35</f>
        <v>458440.07</v>
      </c>
      <c r="E187" s="68">
        <f>D187-C187</f>
        <v>-41819.58999999997</v>
      </c>
    </row>
    <row r="188" spans="2:5" ht="12.75">
      <c r="B188" s="54" t="s">
        <v>74</v>
      </c>
      <c r="C188" s="117">
        <v>20193.3</v>
      </c>
      <c r="D188" s="117">
        <f>30859.12-45.56</f>
        <v>30813.559999999998</v>
      </c>
      <c r="E188" s="69">
        <f>D188-C188</f>
        <v>10620.259999999998</v>
      </c>
    </row>
    <row r="189" spans="2:5" ht="13.5" thickBot="1">
      <c r="B189" s="63" t="s">
        <v>91</v>
      </c>
      <c r="C189" s="128">
        <f>1350+4500+2100+20000</f>
        <v>27950</v>
      </c>
      <c r="D189" s="128">
        <f>450+1350+3600+2100+20000</f>
        <v>27500</v>
      </c>
      <c r="E189" s="70">
        <f>D189-C189</f>
        <v>-450</v>
      </c>
    </row>
    <row r="190" spans="2:5" ht="13.5" thickBot="1">
      <c r="B190" s="55"/>
      <c r="C190" s="80">
        <f>SUM(C187:C189)</f>
        <v>548402.96</v>
      </c>
      <c r="D190" s="80">
        <f>SUM(D187:D189)</f>
        <v>516753.63</v>
      </c>
      <c r="E190" s="57">
        <f>SUM(E187:E189)</f>
        <v>-31649.32999999997</v>
      </c>
    </row>
    <row r="191" spans="2:5" ht="13.5" thickBot="1">
      <c r="B191" s="143" t="s">
        <v>80</v>
      </c>
      <c r="C191" s="144"/>
      <c r="D191" s="144"/>
      <c r="E191" s="145"/>
    </row>
    <row r="192" spans="2:5" ht="13.5" thickBot="1">
      <c r="B192" s="62"/>
      <c r="C192" s="64">
        <f>C185+C190</f>
        <v>1028886.6299999999</v>
      </c>
      <c r="D192" s="64">
        <f>D185+D190</f>
        <v>1143187.75</v>
      </c>
      <c r="E192" s="64">
        <f>E185+E190</f>
        <v>114301.12000000004</v>
      </c>
    </row>
  </sheetData>
  <sheetProtection/>
  <mergeCells count="29">
    <mergeCell ref="A62:E62"/>
    <mergeCell ref="A125:E125"/>
    <mergeCell ref="C126:E126"/>
    <mergeCell ref="A119:B119"/>
    <mergeCell ref="C119:E119"/>
    <mergeCell ref="C120:E120"/>
    <mergeCell ref="B121:E121"/>
    <mergeCell ref="A123:E123"/>
    <mergeCell ref="A124:E124"/>
    <mergeCell ref="A1:B1"/>
    <mergeCell ref="C1:E1"/>
    <mergeCell ref="C2:E2"/>
    <mergeCell ref="B3:E3"/>
    <mergeCell ref="A63:E63"/>
    <mergeCell ref="C64:E64"/>
    <mergeCell ref="A57:B57"/>
    <mergeCell ref="C57:E57"/>
    <mergeCell ref="C58:E58"/>
    <mergeCell ref="B59:E59"/>
    <mergeCell ref="B182:E182"/>
    <mergeCell ref="B186:E186"/>
    <mergeCell ref="B191:E191"/>
    <mergeCell ref="A134:D134"/>
    <mergeCell ref="A15:D15"/>
    <mergeCell ref="A5:E5"/>
    <mergeCell ref="A6:E6"/>
    <mergeCell ref="A7:E7"/>
    <mergeCell ref="C8:E8"/>
    <mergeCell ref="A61:E61"/>
  </mergeCells>
  <printOptions/>
  <pageMargins left="0.3937007874015748" right="0.1968503937007874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9"/>
  <sheetViews>
    <sheetView zoomScalePageLayoutView="0" workbookViewId="0" topLeftCell="A150">
      <selection activeCell="A126" sqref="A126:E199"/>
    </sheetView>
  </sheetViews>
  <sheetFormatPr defaultColWidth="9.00390625" defaultRowHeight="12.75"/>
  <cols>
    <col min="1" max="1" width="3.875" style="0" customWidth="1"/>
    <col min="2" max="2" width="55.375" style="0" customWidth="1"/>
    <col min="3" max="4" width="13.125" style="0" customWidth="1"/>
    <col min="5" max="5" width="11.625" style="0" customWidth="1"/>
  </cols>
  <sheetData>
    <row r="1" spans="1:5" ht="12.75">
      <c r="A1" s="132"/>
      <c r="B1" s="132"/>
      <c r="C1" s="133" t="s">
        <v>84</v>
      </c>
      <c r="D1" s="134"/>
      <c r="E1" s="134"/>
    </row>
    <row r="2" spans="1:5" ht="14.25">
      <c r="A2" s="16"/>
      <c r="B2" s="104"/>
      <c r="C2" s="135" t="s">
        <v>20</v>
      </c>
      <c r="D2" s="136"/>
      <c r="E2" s="136"/>
    </row>
    <row r="3" spans="1:5" ht="14.25">
      <c r="A3" s="16"/>
      <c r="B3" s="135" t="s">
        <v>21</v>
      </c>
      <c r="C3" s="136"/>
      <c r="D3" s="136"/>
      <c r="E3" s="136"/>
    </row>
    <row r="4" spans="1:5" ht="12.75">
      <c r="A4" s="16"/>
      <c r="B4" s="24"/>
      <c r="C4" s="18"/>
      <c r="D4" s="18"/>
      <c r="E4" s="18"/>
    </row>
    <row r="5" spans="1:5" ht="18">
      <c r="A5" s="137" t="s">
        <v>33</v>
      </c>
      <c r="B5" s="130"/>
      <c r="C5" s="130"/>
      <c r="D5" s="130"/>
      <c r="E5" s="130"/>
    </row>
    <row r="6" spans="1:5" ht="15">
      <c r="A6" s="129" t="s">
        <v>34</v>
      </c>
      <c r="B6" s="131"/>
      <c r="C6" s="131"/>
      <c r="D6" s="131"/>
      <c r="E6" s="131"/>
    </row>
    <row r="7" spans="1:5" ht="15">
      <c r="A7" s="129"/>
      <c r="B7" s="130"/>
      <c r="C7" s="130"/>
      <c r="D7" s="130"/>
      <c r="E7" s="130"/>
    </row>
    <row r="8" spans="1:5" ht="15">
      <c r="A8" s="19"/>
      <c r="B8" s="20" t="s">
        <v>52</v>
      </c>
      <c r="C8" s="129"/>
      <c r="D8" s="131"/>
      <c r="E8" s="131"/>
    </row>
    <row r="9" spans="1:4" ht="15">
      <c r="A9" s="19"/>
      <c r="B9" s="20" t="s">
        <v>81</v>
      </c>
      <c r="C9" s="108">
        <v>5718.6</v>
      </c>
      <c r="D9" s="47" t="s">
        <v>82</v>
      </c>
    </row>
    <row r="10" spans="1:5" ht="13.5" thickBot="1">
      <c r="A10" s="16" t="s">
        <v>72</v>
      </c>
      <c r="B10" s="3" t="s">
        <v>73</v>
      </c>
      <c r="C10" s="10"/>
      <c r="D10" s="14"/>
      <c r="E10" s="22"/>
    </row>
    <row r="11" spans="1:5" ht="39" thickBot="1">
      <c r="A11" s="72"/>
      <c r="B11" s="73" t="s">
        <v>77</v>
      </c>
      <c r="C11" s="74" t="s">
        <v>78</v>
      </c>
      <c r="D11" s="75" t="s">
        <v>31</v>
      </c>
      <c r="E11" s="76" t="s">
        <v>79</v>
      </c>
    </row>
    <row r="12" spans="1:5" ht="12.75">
      <c r="A12" s="52">
        <v>1</v>
      </c>
      <c r="B12" s="59" t="s">
        <v>89</v>
      </c>
      <c r="C12" s="89">
        <v>640551.67</v>
      </c>
      <c r="D12" s="90">
        <v>965085.21</v>
      </c>
      <c r="E12" s="91">
        <f>D12-C12</f>
        <v>324533.5399999999</v>
      </c>
    </row>
    <row r="13" spans="1:5" ht="13.5" thickBot="1">
      <c r="A13" s="45">
        <v>2</v>
      </c>
      <c r="B13" s="5" t="s">
        <v>91</v>
      </c>
      <c r="C13" s="112">
        <f>2700+5600</f>
        <v>8300</v>
      </c>
      <c r="D13" s="113">
        <f>2700+5600</f>
        <v>8300</v>
      </c>
      <c r="E13" s="94">
        <f>D13-C13</f>
        <v>0</v>
      </c>
    </row>
    <row r="14" spans="1:5" ht="13.5" thickBot="1">
      <c r="A14" s="66"/>
      <c r="B14" s="67"/>
      <c r="C14" s="95">
        <f>SUM(C12:C13)</f>
        <v>648851.67</v>
      </c>
      <c r="D14" s="95">
        <f>SUM(D12:D13)</f>
        <v>973385.21</v>
      </c>
      <c r="E14" s="114">
        <f>SUM(E12:E13)</f>
        <v>324533.5399999999</v>
      </c>
    </row>
    <row r="15" spans="1:5" ht="12.75">
      <c r="A15" s="138" t="s">
        <v>67</v>
      </c>
      <c r="B15" s="131"/>
      <c r="C15" s="131"/>
      <c r="D15" s="131"/>
      <c r="E15" s="99">
        <v>655625.92</v>
      </c>
    </row>
    <row r="16" spans="1:2" ht="13.5" thickBot="1">
      <c r="A16" s="25"/>
      <c r="B16" s="3" t="s">
        <v>94</v>
      </c>
    </row>
    <row r="17" spans="1:3" ht="12.75">
      <c r="A17" s="101"/>
      <c r="B17" s="102" t="s">
        <v>76</v>
      </c>
      <c r="C17" s="103"/>
    </row>
    <row r="18" spans="1:4" ht="38.25">
      <c r="A18" s="46">
        <v>1</v>
      </c>
      <c r="B18" s="43" t="s">
        <v>36</v>
      </c>
      <c r="C18" s="88">
        <f>C49</f>
        <v>498921.45</v>
      </c>
      <c r="D18" s="21"/>
    </row>
    <row r="19" spans="1:4" ht="38.25">
      <c r="A19" s="46">
        <v>2</v>
      </c>
      <c r="B19" s="17" t="s">
        <v>22</v>
      </c>
      <c r="C19" s="83">
        <f>C55</f>
        <v>32546.14</v>
      </c>
      <c r="D19" s="98"/>
    </row>
    <row r="20" spans="1:4" ht="12.75">
      <c r="A20" s="44">
        <v>3</v>
      </c>
      <c r="B20" s="8" t="s">
        <v>86</v>
      </c>
      <c r="C20" s="85">
        <v>14671.77</v>
      </c>
      <c r="D20" s="98"/>
    </row>
    <row r="21" spans="1:4" ht="12.75">
      <c r="A21" s="46">
        <v>4</v>
      </c>
      <c r="B21" s="8" t="s">
        <v>98</v>
      </c>
      <c r="C21" s="85">
        <v>21740.2</v>
      </c>
      <c r="D21" s="98"/>
    </row>
    <row r="22" spans="1:4" ht="12.75">
      <c r="A22" s="44">
        <v>5</v>
      </c>
      <c r="B22" s="8" t="s">
        <v>37</v>
      </c>
      <c r="C22" s="84">
        <v>22719.52</v>
      </c>
      <c r="D22" s="98"/>
    </row>
    <row r="23" spans="1:4" ht="12.75">
      <c r="A23" s="44">
        <v>6</v>
      </c>
      <c r="B23" s="8" t="s">
        <v>38</v>
      </c>
      <c r="C23" s="84">
        <v>97837.41</v>
      </c>
      <c r="D23" s="98"/>
    </row>
    <row r="24" spans="1:4" ht="12.75">
      <c r="A24" s="44">
        <v>7</v>
      </c>
      <c r="B24" s="17" t="s">
        <v>96</v>
      </c>
      <c r="C24" s="82">
        <v>206.2</v>
      </c>
      <c r="D24" s="98"/>
    </row>
    <row r="25" spans="1:5" ht="25.5">
      <c r="A25" s="44">
        <v>8</v>
      </c>
      <c r="B25" s="17" t="s">
        <v>97</v>
      </c>
      <c r="C25" s="82">
        <v>721.76</v>
      </c>
      <c r="D25" s="98"/>
      <c r="E25" t="s">
        <v>87</v>
      </c>
    </row>
    <row r="26" spans="1:4" ht="25.5">
      <c r="A26" s="46">
        <v>9</v>
      </c>
      <c r="B26" s="17" t="s">
        <v>39</v>
      </c>
      <c r="C26" s="82">
        <v>50612.9</v>
      </c>
      <c r="D26" s="98"/>
    </row>
    <row r="27" spans="1:4" ht="12.75">
      <c r="A27" s="46">
        <v>10</v>
      </c>
      <c r="B27" s="17" t="s">
        <v>40</v>
      </c>
      <c r="C27" s="82">
        <v>1200</v>
      </c>
      <c r="D27" s="98"/>
    </row>
    <row r="28" spans="1:4" ht="25.5">
      <c r="A28" s="46">
        <v>11</v>
      </c>
      <c r="B28" s="17" t="s">
        <v>41</v>
      </c>
      <c r="C28" s="82">
        <v>9000</v>
      </c>
      <c r="D28" s="98"/>
    </row>
    <row r="29" spans="1:4" ht="25.5">
      <c r="A29" s="46">
        <v>12</v>
      </c>
      <c r="B29" s="17" t="s">
        <v>42</v>
      </c>
      <c r="C29" s="82">
        <v>3351.01</v>
      </c>
      <c r="D29" s="98"/>
    </row>
    <row r="30" spans="1:4" ht="25.5">
      <c r="A30" s="46">
        <v>13</v>
      </c>
      <c r="B30" s="17" t="s">
        <v>10</v>
      </c>
      <c r="C30" s="82">
        <v>1546.62</v>
      </c>
      <c r="D30" s="98"/>
    </row>
    <row r="31" spans="1:4" ht="12.75">
      <c r="A31" s="46">
        <v>14</v>
      </c>
      <c r="B31" s="17" t="s">
        <v>43</v>
      </c>
      <c r="C31" s="82">
        <v>10395.59</v>
      </c>
      <c r="D31" s="98"/>
    </row>
    <row r="32" spans="1:4" ht="25.5">
      <c r="A32" s="46">
        <v>15</v>
      </c>
      <c r="B32" s="17" t="s">
        <v>44</v>
      </c>
      <c r="C32" s="82">
        <v>1750</v>
      </c>
      <c r="D32" s="98"/>
    </row>
    <row r="33" spans="1:5" ht="12.75">
      <c r="A33" s="44">
        <v>16</v>
      </c>
      <c r="B33" s="17" t="s">
        <v>45</v>
      </c>
      <c r="C33" s="82">
        <v>686</v>
      </c>
      <c r="D33" s="98"/>
      <c r="E33" t="s">
        <v>87</v>
      </c>
    </row>
    <row r="34" spans="1:5" ht="12.75">
      <c r="A34" s="44">
        <v>17</v>
      </c>
      <c r="B34" s="17" t="s">
        <v>46</v>
      </c>
      <c r="C34" s="82">
        <v>306</v>
      </c>
      <c r="D34" s="98"/>
      <c r="E34" t="s">
        <v>87</v>
      </c>
    </row>
    <row r="35" spans="1:4" ht="25.5">
      <c r="A35" s="46">
        <v>18</v>
      </c>
      <c r="B35" s="17" t="s">
        <v>47</v>
      </c>
      <c r="C35" s="82">
        <v>500</v>
      </c>
      <c r="D35" s="98"/>
    </row>
    <row r="36" spans="1:4" ht="12.75">
      <c r="A36" s="46">
        <v>19</v>
      </c>
      <c r="B36" s="17" t="s">
        <v>53</v>
      </c>
      <c r="C36" s="82">
        <v>26493.53</v>
      </c>
      <c r="D36" s="98"/>
    </row>
    <row r="37" spans="1:3" ht="12.75">
      <c r="A37" s="33"/>
      <c r="B37" s="13" t="s">
        <v>93</v>
      </c>
      <c r="C37" s="86">
        <f>SUM(C18:C36)</f>
        <v>795206.1</v>
      </c>
    </row>
    <row r="38" spans="1:3" ht="12.75">
      <c r="A38" s="32"/>
      <c r="B38" s="8" t="s">
        <v>48</v>
      </c>
      <c r="C38" s="85">
        <f>(D14)*10%</f>
        <v>97338.52100000001</v>
      </c>
    </row>
    <row r="39" spans="1:4" ht="12.75">
      <c r="A39" s="7"/>
      <c r="B39" s="9" t="s">
        <v>69</v>
      </c>
      <c r="C39" s="115">
        <f>C37+C38</f>
        <v>892544.621</v>
      </c>
      <c r="D39" s="21"/>
    </row>
    <row r="40" spans="1:4" ht="12.75">
      <c r="A40" s="16"/>
      <c r="B40" s="4"/>
      <c r="C40" s="87"/>
      <c r="D40" s="21"/>
    </row>
    <row r="41" spans="1:3" ht="15">
      <c r="A41" s="47" t="s">
        <v>27</v>
      </c>
      <c r="B41" s="111"/>
      <c r="C41" s="87">
        <f>C39-C14</f>
        <v>243692.951</v>
      </c>
    </row>
    <row r="42" spans="1:3" ht="15">
      <c r="A42" s="16"/>
      <c r="B42" s="11"/>
      <c r="C42" s="87"/>
    </row>
    <row r="43" ht="12.75">
      <c r="B43" s="1" t="s">
        <v>71</v>
      </c>
    </row>
    <row r="44" ht="12.75">
      <c r="B44" s="1" t="s">
        <v>28</v>
      </c>
    </row>
    <row r="45" ht="12.75">
      <c r="B45" s="1"/>
    </row>
    <row r="46" spans="1:4" ht="12.75">
      <c r="A46" s="2"/>
      <c r="B46" s="2"/>
      <c r="C46" s="2" t="s">
        <v>75</v>
      </c>
      <c r="D46" s="2"/>
    </row>
    <row r="47" spans="1:4" ht="12.75">
      <c r="A47" s="2"/>
      <c r="B47" s="2"/>
      <c r="C47" s="2" t="s">
        <v>54</v>
      </c>
      <c r="D47" s="2"/>
    </row>
    <row r="48" spans="1:5" ht="13.5" thickBot="1">
      <c r="A48" s="25"/>
      <c r="B48" s="25" t="s">
        <v>68</v>
      </c>
      <c r="C48" s="23" t="s">
        <v>83</v>
      </c>
      <c r="D48" s="53">
        <f>C9</f>
        <v>5718.6</v>
      </c>
      <c r="E48" t="s">
        <v>82</v>
      </c>
    </row>
    <row r="49" spans="1:5" ht="12.75">
      <c r="A49" s="35" t="s">
        <v>95</v>
      </c>
      <c r="B49" s="27" t="s">
        <v>50</v>
      </c>
      <c r="C49" s="31">
        <f>479029.7+C51+C52+C54+C53</f>
        <v>498921.45</v>
      </c>
      <c r="D49" s="12"/>
      <c r="E49" s="14"/>
    </row>
    <row r="50" spans="1:5" ht="12.75">
      <c r="A50" s="36"/>
      <c r="B50" s="6" t="s">
        <v>92</v>
      </c>
      <c r="C50" s="28"/>
      <c r="D50" s="12"/>
      <c r="E50" s="14"/>
    </row>
    <row r="51" spans="1:5" ht="12.75">
      <c r="A51" s="37" t="s">
        <v>85</v>
      </c>
      <c r="B51" s="6" t="s">
        <v>70</v>
      </c>
      <c r="C51" s="28">
        <f>1417.33+6390</f>
        <v>7807.33</v>
      </c>
      <c r="D51" s="12"/>
      <c r="E51" s="12"/>
    </row>
    <row r="52" spans="1:5" ht="12.75">
      <c r="A52" s="37" t="s">
        <v>85</v>
      </c>
      <c r="B52" s="40" t="s">
        <v>51</v>
      </c>
      <c r="C52" s="41">
        <v>145.87</v>
      </c>
      <c r="D52" s="12"/>
      <c r="E52" s="12"/>
    </row>
    <row r="53" spans="1:5" ht="12.75">
      <c r="A53" s="37" t="s">
        <v>85</v>
      </c>
      <c r="B53" s="40" t="s">
        <v>55</v>
      </c>
      <c r="C53" s="41">
        <v>8052.99</v>
      </c>
      <c r="D53" s="12"/>
      <c r="E53" s="12"/>
    </row>
    <row r="54" spans="1:5" ht="13.5" thickBot="1">
      <c r="A54" s="49" t="s">
        <v>85</v>
      </c>
      <c r="B54" s="40" t="s">
        <v>11</v>
      </c>
      <c r="C54" s="41">
        <f>1458.63+2426.93</f>
        <v>3885.56</v>
      </c>
      <c r="D54" s="12"/>
      <c r="E54" s="12"/>
    </row>
    <row r="55" spans="1:5" ht="12.75">
      <c r="A55" s="35" t="s">
        <v>116</v>
      </c>
      <c r="B55" s="27" t="s">
        <v>29</v>
      </c>
      <c r="C55" s="31">
        <f>24443.14+C57</f>
        <v>32546.14</v>
      </c>
      <c r="D55" s="12"/>
      <c r="E55" s="10"/>
    </row>
    <row r="56" spans="1:5" ht="12.75">
      <c r="A56" s="36"/>
      <c r="B56" s="6" t="s">
        <v>92</v>
      </c>
      <c r="C56" s="28"/>
      <c r="D56" s="12"/>
      <c r="E56" s="14"/>
    </row>
    <row r="57" spans="1:5" ht="13.5" thickBot="1">
      <c r="A57" s="38" t="s">
        <v>85</v>
      </c>
      <c r="B57" s="29" t="s">
        <v>70</v>
      </c>
      <c r="C57" s="30">
        <f>1973+5220+910</f>
        <v>8103</v>
      </c>
      <c r="D57" s="12"/>
      <c r="E57" s="12"/>
    </row>
    <row r="59" spans="1:5" ht="12.75">
      <c r="A59" s="132"/>
      <c r="B59" s="132"/>
      <c r="C59" s="133" t="s">
        <v>84</v>
      </c>
      <c r="D59" s="134"/>
      <c r="E59" s="134"/>
    </row>
    <row r="60" spans="1:5" ht="14.25">
      <c r="A60" s="16"/>
      <c r="B60" s="104"/>
      <c r="C60" s="135" t="s">
        <v>20</v>
      </c>
      <c r="D60" s="136"/>
      <c r="E60" s="136"/>
    </row>
    <row r="61" spans="1:5" ht="14.25">
      <c r="A61" s="16"/>
      <c r="B61" s="135" t="s">
        <v>21</v>
      </c>
      <c r="C61" s="136"/>
      <c r="D61" s="136"/>
      <c r="E61" s="136"/>
    </row>
    <row r="62" spans="1:5" ht="12.75">
      <c r="A62" s="16"/>
      <c r="B62" s="24"/>
      <c r="C62" s="18"/>
      <c r="D62" s="18"/>
      <c r="E62" s="18"/>
    </row>
    <row r="63" spans="1:5" ht="18">
      <c r="A63" s="137" t="s">
        <v>88</v>
      </c>
      <c r="B63" s="130"/>
      <c r="C63" s="130"/>
      <c r="D63" s="130"/>
      <c r="E63" s="130"/>
    </row>
    <row r="64" spans="1:5" ht="15">
      <c r="A64" s="129" t="s">
        <v>103</v>
      </c>
      <c r="B64" s="131"/>
      <c r="C64" s="131"/>
      <c r="D64" s="131"/>
      <c r="E64" s="131"/>
    </row>
    <row r="65" spans="1:5" ht="15">
      <c r="A65" s="129"/>
      <c r="B65" s="130"/>
      <c r="C65" s="130"/>
      <c r="D65" s="130"/>
      <c r="E65" s="130"/>
    </row>
    <row r="66" spans="1:5" ht="15">
      <c r="A66" s="19"/>
      <c r="B66" s="20" t="s">
        <v>52</v>
      </c>
      <c r="C66" s="129"/>
      <c r="D66" s="131"/>
      <c r="E66" s="131"/>
    </row>
    <row r="67" spans="1:4" ht="15">
      <c r="A67" s="19"/>
      <c r="B67" s="20"/>
      <c r="C67" s="108"/>
      <c r="D67" s="47"/>
    </row>
    <row r="68" spans="1:5" ht="13.5" thickBot="1">
      <c r="A68" s="16" t="s">
        <v>72</v>
      </c>
      <c r="B68" s="3" t="s">
        <v>73</v>
      </c>
      <c r="C68" s="10"/>
      <c r="D68" s="14"/>
      <c r="E68" s="22"/>
    </row>
    <row r="69" spans="1:5" ht="39" thickBot="1">
      <c r="A69" s="72"/>
      <c r="B69" s="73" t="s">
        <v>77</v>
      </c>
      <c r="C69" s="74" t="s">
        <v>78</v>
      </c>
      <c r="D69" s="75" t="s">
        <v>31</v>
      </c>
      <c r="E69" s="76" t="s">
        <v>79</v>
      </c>
    </row>
    <row r="70" spans="1:5" ht="12.75">
      <c r="A70" s="52">
        <v>1</v>
      </c>
      <c r="B70" s="59" t="s">
        <v>89</v>
      </c>
      <c r="C70" s="89">
        <v>863575.23</v>
      </c>
      <c r="D70" s="90">
        <f>1317955.96-32108.7</f>
        <v>1285847.26</v>
      </c>
      <c r="E70" s="91">
        <f>D70-C70</f>
        <v>422272.03</v>
      </c>
    </row>
    <row r="71" spans="1:5" ht="13.5" thickBot="1">
      <c r="A71" s="45">
        <v>2</v>
      </c>
      <c r="B71" s="5" t="s">
        <v>91</v>
      </c>
      <c r="C71" s="112">
        <f>3150+7700</f>
        <v>10850</v>
      </c>
      <c r="D71" s="113">
        <f>3600+7000</f>
        <v>10600</v>
      </c>
      <c r="E71" s="94">
        <f>D71-C71</f>
        <v>-250</v>
      </c>
    </row>
    <row r="72" spans="1:5" ht="13.5" thickBot="1">
      <c r="A72" s="66"/>
      <c r="B72" s="67"/>
      <c r="C72" s="95">
        <f>SUM(C70:C71)</f>
        <v>874425.23</v>
      </c>
      <c r="D72" s="95">
        <f>SUM(D70:D71)</f>
        <v>1296447.26</v>
      </c>
      <c r="E72" s="114">
        <f>SUM(E70:E71)</f>
        <v>422022.03</v>
      </c>
    </row>
    <row r="73" spans="1:5" ht="12.75">
      <c r="A73" s="138"/>
      <c r="B73" s="131"/>
      <c r="C73" s="131"/>
      <c r="D73" s="131"/>
      <c r="E73" s="99"/>
    </row>
    <row r="74" spans="1:2" ht="13.5" thickBot="1">
      <c r="A74" s="25"/>
      <c r="B74" s="3" t="s">
        <v>94</v>
      </c>
    </row>
    <row r="75" spans="1:3" ht="12.75">
      <c r="A75" s="101"/>
      <c r="B75" s="102" t="s">
        <v>76</v>
      </c>
      <c r="C75" s="103"/>
    </row>
    <row r="76" spans="1:4" ht="38.25">
      <c r="A76" s="46">
        <v>1</v>
      </c>
      <c r="B76" s="43" t="s">
        <v>36</v>
      </c>
      <c r="C76" s="88">
        <f>C116</f>
        <v>667176.78</v>
      </c>
      <c r="D76" s="21"/>
    </row>
    <row r="77" spans="1:4" ht="38.25">
      <c r="A77" s="46">
        <v>2</v>
      </c>
      <c r="B77" s="17" t="s">
        <v>22</v>
      </c>
      <c r="C77" s="83">
        <f>C122</f>
        <v>45611.66</v>
      </c>
      <c r="D77" s="98"/>
    </row>
    <row r="78" spans="1:4" ht="12.75">
      <c r="A78" s="44">
        <v>3</v>
      </c>
      <c r="B78" s="8" t="s">
        <v>86</v>
      </c>
      <c r="C78" s="85">
        <f>14671.77+5970.33</f>
        <v>20642.1</v>
      </c>
      <c r="D78" s="98"/>
    </row>
    <row r="79" spans="1:4" ht="12.75">
      <c r="A79" s="46">
        <v>4</v>
      </c>
      <c r="B79" s="8" t="s">
        <v>15</v>
      </c>
      <c r="C79" s="85">
        <v>26835.56</v>
      </c>
      <c r="D79" s="98"/>
    </row>
    <row r="80" spans="1:4" ht="12.75">
      <c r="A80" s="44">
        <v>5</v>
      </c>
      <c r="B80" s="8" t="s">
        <v>37</v>
      </c>
      <c r="C80" s="84">
        <v>27987.92</v>
      </c>
      <c r="D80" s="98"/>
    </row>
    <row r="81" spans="1:4" ht="12.75">
      <c r="A81" s="44">
        <v>6</v>
      </c>
      <c r="B81" s="8" t="s">
        <v>38</v>
      </c>
      <c r="C81" s="84">
        <v>136591.2</v>
      </c>
      <c r="D81" s="98"/>
    </row>
    <row r="82" spans="1:4" ht="12.75">
      <c r="A82" s="44">
        <v>7</v>
      </c>
      <c r="B82" s="17" t="s">
        <v>17</v>
      </c>
      <c r="C82" s="88">
        <v>7648.33</v>
      </c>
      <c r="D82" s="98"/>
    </row>
    <row r="83" spans="1:4" ht="12.75">
      <c r="A83" s="44">
        <v>8</v>
      </c>
      <c r="B83" s="17" t="s">
        <v>96</v>
      </c>
      <c r="C83" s="82">
        <v>309.3</v>
      </c>
      <c r="D83" s="98"/>
    </row>
    <row r="84" spans="1:5" ht="12.75">
      <c r="A84" s="44">
        <v>9</v>
      </c>
      <c r="B84" s="50" t="s">
        <v>97</v>
      </c>
      <c r="C84" s="82">
        <v>1082.64</v>
      </c>
      <c r="D84" s="98"/>
      <c r="E84" t="s">
        <v>87</v>
      </c>
    </row>
    <row r="85" spans="1:4" ht="12.75">
      <c r="A85" s="44">
        <v>10</v>
      </c>
      <c r="B85" s="50" t="s">
        <v>39</v>
      </c>
      <c r="C85" s="82">
        <v>68612.9</v>
      </c>
      <c r="D85" s="98"/>
    </row>
    <row r="86" spans="1:4" ht="12.75">
      <c r="A86" s="44">
        <v>11</v>
      </c>
      <c r="B86" s="50" t="s">
        <v>40</v>
      </c>
      <c r="C86" s="82">
        <v>1200</v>
      </c>
      <c r="D86" s="98"/>
    </row>
    <row r="87" spans="1:4" ht="12.75">
      <c r="A87" s="44">
        <v>12</v>
      </c>
      <c r="B87" s="50" t="s">
        <v>41</v>
      </c>
      <c r="C87" s="82">
        <v>9000</v>
      </c>
      <c r="D87" s="98"/>
    </row>
    <row r="88" spans="1:4" ht="25.5">
      <c r="A88" s="44">
        <v>13</v>
      </c>
      <c r="B88" s="17" t="s">
        <v>42</v>
      </c>
      <c r="C88" s="82">
        <v>3351.01</v>
      </c>
      <c r="D88" s="98"/>
    </row>
    <row r="89" spans="1:4" ht="25.5">
      <c r="A89" s="44">
        <v>14</v>
      </c>
      <c r="B89" s="17" t="s">
        <v>10</v>
      </c>
      <c r="C89" s="82">
        <v>1546.62</v>
      </c>
      <c r="D89" s="98"/>
    </row>
    <row r="90" spans="1:4" ht="12.75">
      <c r="A90" s="44">
        <v>15</v>
      </c>
      <c r="B90" s="17" t="s">
        <v>0</v>
      </c>
      <c r="C90" s="82">
        <v>10395.59</v>
      </c>
      <c r="D90" s="98"/>
    </row>
    <row r="91" spans="1:4" ht="25.5">
      <c r="A91" s="46">
        <v>16</v>
      </c>
      <c r="B91" s="17" t="s">
        <v>115</v>
      </c>
      <c r="C91" s="82">
        <v>15000</v>
      </c>
      <c r="D91" s="98"/>
    </row>
    <row r="92" spans="1:4" ht="25.5">
      <c r="A92" s="46">
        <v>17</v>
      </c>
      <c r="B92" s="17" t="s">
        <v>44</v>
      </c>
      <c r="C92" s="82">
        <v>1750</v>
      </c>
      <c r="D92" s="98"/>
    </row>
    <row r="93" spans="1:5" ht="12.75">
      <c r="A93" s="44">
        <v>18</v>
      </c>
      <c r="B93" s="17" t="s">
        <v>45</v>
      </c>
      <c r="C93" s="82">
        <v>686</v>
      </c>
      <c r="D93" s="98"/>
      <c r="E93" t="s">
        <v>87</v>
      </c>
    </row>
    <row r="94" spans="1:5" ht="12.75">
      <c r="A94" s="44">
        <v>19</v>
      </c>
      <c r="B94" s="17" t="s">
        <v>46</v>
      </c>
      <c r="C94" s="82">
        <v>306</v>
      </c>
      <c r="D94" s="98"/>
      <c r="E94" t="s">
        <v>87</v>
      </c>
    </row>
    <row r="95" spans="1:4" ht="12.75">
      <c r="A95" s="44">
        <v>20</v>
      </c>
      <c r="B95" s="17" t="s">
        <v>12</v>
      </c>
      <c r="C95" s="88">
        <f>16808.72+6294.24</f>
        <v>23102.96</v>
      </c>
      <c r="D95" s="98"/>
    </row>
    <row r="96" spans="1:4" ht="25.5">
      <c r="A96" s="44">
        <v>21</v>
      </c>
      <c r="B96" s="17" t="s">
        <v>47</v>
      </c>
      <c r="C96" s="82">
        <v>500</v>
      </c>
      <c r="D96" s="98"/>
    </row>
    <row r="97" spans="1:4" ht="25.5">
      <c r="A97" s="44">
        <v>22</v>
      </c>
      <c r="B97" s="17" t="s">
        <v>114</v>
      </c>
      <c r="C97" s="82">
        <v>6000</v>
      </c>
      <c r="D97" s="98"/>
    </row>
    <row r="98" spans="1:3" ht="12.75">
      <c r="A98" s="32" t="s">
        <v>110</v>
      </c>
      <c r="B98" s="8" t="s">
        <v>24</v>
      </c>
      <c r="C98" s="85">
        <f>C72*0.06</f>
        <v>52465.51379999999</v>
      </c>
    </row>
    <row r="99" spans="1:3" ht="12.75">
      <c r="A99" s="51" t="s">
        <v>111</v>
      </c>
      <c r="B99" s="61" t="s">
        <v>90</v>
      </c>
      <c r="C99" s="124">
        <v>9511.32</v>
      </c>
    </row>
    <row r="100" spans="1:4" ht="12.75">
      <c r="A100" s="44">
        <v>25</v>
      </c>
      <c r="B100" s="17" t="s">
        <v>18</v>
      </c>
      <c r="C100" s="82">
        <v>2500</v>
      </c>
      <c r="D100" s="98"/>
    </row>
    <row r="101" spans="1:4" ht="12.75">
      <c r="A101" s="44">
        <v>26</v>
      </c>
      <c r="B101" s="50" t="s">
        <v>113</v>
      </c>
      <c r="C101" s="82">
        <v>26493.53</v>
      </c>
      <c r="D101" s="98"/>
    </row>
    <row r="102" spans="1:5" ht="12.75">
      <c r="A102" s="46">
        <v>27</v>
      </c>
      <c r="B102" s="17" t="s">
        <v>32</v>
      </c>
      <c r="C102" s="82">
        <f>128.88*12</f>
        <v>1546.56</v>
      </c>
      <c r="D102" s="98"/>
      <c r="E102" t="s">
        <v>64</v>
      </c>
    </row>
    <row r="103" spans="1:4" ht="12.75">
      <c r="A103" s="44">
        <v>28</v>
      </c>
      <c r="B103" s="17" t="s">
        <v>65</v>
      </c>
      <c r="C103" s="82">
        <f>850.64*12</f>
        <v>10207.68</v>
      </c>
      <c r="D103" s="98"/>
    </row>
    <row r="104" spans="1:3" ht="12.75">
      <c r="A104" s="33"/>
      <c r="B104" s="13" t="s">
        <v>93</v>
      </c>
      <c r="C104" s="86">
        <f>SUM(C76:C103)</f>
        <v>1178061.1738000005</v>
      </c>
    </row>
    <row r="105" spans="1:3" ht="12.75">
      <c r="A105" s="32"/>
      <c r="B105" s="8" t="s">
        <v>48</v>
      </c>
      <c r="C105" s="85">
        <f>(D72)*10%</f>
        <v>129644.72600000001</v>
      </c>
    </row>
    <row r="106" spans="1:4" ht="13.5" thickBot="1">
      <c r="A106" s="39"/>
      <c r="B106" s="34" t="s">
        <v>69</v>
      </c>
      <c r="C106" s="122">
        <f>C104+C105</f>
        <v>1307705.8998000005</v>
      </c>
      <c r="D106" s="21"/>
    </row>
    <row r="107" spans="1:4" ht="12.75">
      <c r="A107" s="16"/>
      <c r="B107" s="4"/>
      <c r="C107" s="87"/>
      <c r="D107" s="21"/>
    </row>
    <row r="108" spans="1:3" ht="15">
      <c r="A108" s="47" t="s">
        <v>14</v>
      </c>
      <c r="B108" s="111"/>
      <c r="C108" s="87">
        <f>C106-C72</f>
        <v>433280.6698000005</v>
      </c>
    </row>
    <row r="109" spans="1:3" ht="15">
      <c r="A109" s="16"/>
      <c r="B109" s="11"/>
      <c r="C109" s="87"/>
    </row>
    <row r="110" ht="12.75">
      <c r="B110" s="1" t="s">
        <v>71</v>
      </c>
    </row>
    <row r="111" ht="12.75">
      <c r="B111" s="1" t="s">
        <v>28</v>
      </c>
    </row>
    <row r="112" ht="12.75">
      <c r="B112" s="1"/>
    </row>
    <row r="113" spans="1:4" ht="12.75">
      <c r="A113" s="2"/>
      <c r="B113" s="2"/>
      <c r="C113" s="2" t="s">
        <v>75</v>
      </c>
      <c r="D113" s="2"/>
    </row>
    <row r="114" spans="1:4" ht="12.75">
      <c r="A114" s="2"/>
      <c r="B114" s="2"/>
      <c r="C114" s="2" t="s">
        <v>54</v>
      </c>
      <c r="D114" s="2"/>
    </row>
    <row r="115" spans="1:4" ht="13.5" thickBot="1">
      <c r="A115" s="25"/>
      <c r="B115" s="25" t="s">
        <v>68</v>
      </c>
      <c r="C115" s="23"/>
      <c r="D115" s="53"/>
    </row>
    <row r="116" spans="1:5" ht="12.75">
      <c r="A116" s="35" t="s">
        <v>95</v>
      </c>
      <c r="B116" s="27" t="s">
        <v>50</v>
      </c>
      <c r="C116" s="31">
        <f>645803.36+C118+C119+C121+C120</f>
        <v>667176.78</v>
      </c>
      <c r="D116" s="12"/>
      <c r="E116" s="14"/>
    </row>
    <row r="117" spans="1:5" ht="12.75">
      <c r="A117" s="36"/>
      <c r="B117" s="6" t="s">
        <v>92</v>
      </c>
      <c r="C117" s="28"/>
      <c r="D117" s="12"/>
      <c r="E117" s="14"/>
    </row>
    <row r="118" spans="1:5" ht="12.75">
      <c r="A118" s="37" t="s">
        <v>85</v>
      </c>
      <c r="B118" s="6" t="s">
        <v>70</v>
      </c>
      <c r="C118" s="28">
        <v>9289</v>
      </c>
      <c r="D118" s="12"/>
      <c r="E118" s="12"/>
    </row>
    <row r="119" spans="1:5" ht="12.75">
      <c r="A119" s="37" t="s">
        <v>85</v>
      </c>
      <c r="B119" s="40" t="s">
        <v>51</v>
      </c>
      <c r="C119" s="41">
        <v>145.87</v>
      </c>
      <c r="D119" s="12"/>
      <c r="E119" s="12"/>
    </row>
    <row r="120" spans="1:5" ht="12.75">
      <c r="A120" s="37" t="s">
        <v>85</v>
      </c>
      <c r="B120" s="40" t="s">
        <v>55</v>
      </c>
      <c r="C120" s="41">
        <v>8052.99</v>
      </c>
      <c r="D120" s="12"/>
      <c r="E120" s="12"/>
    </row>
    <row r="121" spans="1:5" ht="13.5" thickBot="1">
      <c r="A121" s="49" t="s">
        <v>85</v>
      </c>
      <c r="B121" s="40" t="s">
        <v>104</v>
      </c>
      <c r="C121" s="41">
        <f>1458.63+2426.93</f>
        <v>3885.56</v>
      </c>
      <c r="D121" s="12"/>
      <c r="E121" s="12"/>
    </row>
    <row r="122" spans="1:5" ht="12.75">
      <c r="A122" s="35" t="s">
        <v>116</v>
      </c>
      <c r="B122" s="27" t="s">
        <v>29</v>
      </c>
      <c r="C122" s="31">
        <f>35765.66+C124</f>
        <v>45611.66</v>
      </c>
      <c r="D122" s="12"/>
      <c r="E122" s="10"/>
    </row>
    <row r="123" spans="1:5" ht="12.75">
      <c r="A123" s="36"/>
      <c r="B123" s="6" t="s">
        <v>92</v>
      </c>
      <c r="C123" s="28"/>
      <c r="D123" s="12"/>
      <c r="E123" s="14"/>
    </row>
    <row r="124" spans="1:5" ht="13.5" thickBot="1">
      <c r="A124" s="38" t="s">
        <v>85</v>
      </c>
      <c r="B124" s="29" t="s">
        <v>70</v>
      </c>
      <c r="C124" s="30">
        <v>9846</v>
      </c>
      <c r="D124" s="12"/>
      <c r="E124" s="12"/>
    </row>
    <row r="126" spans="1:5" ht="12.75">
      <c r="A126" s="132"/>
      <c r="B126" s="132"/>
      <c r="C126" s="133" t="s">
        <v>84</v>
      </c>
      <c r="D126" s="134"/>
      <c r="E126" s="134"/>
    </row>
    <row r="127" spans="1:5" ht="14.25">
      <c r="A127" s="16"/>
      <c r="B127" s="104"/>
      <c r="C127" s="135" t="s">
        <v>20</v>
      </c>
      <c r="D127" s="136"/>
      <c r="E127" s="136"/>
    </row>
    <row r="128" spans="1:5" ht="18" customHeight="1">
      <c r="A128" s="16"/>
      <c r="B128" s="135" t="s">
        <v>21</v>
      </c>
      <c r="C128" s="136"/>
      <c r="D128" s="136"/>
      <c r="E128" s="136"/>
    </row>
    <row r="129" spans="1:5" ht="12.75">
      <c r="A129" s="16"/>
      <c r="B129" s="24"/>
      <c r="C129" s="18"/>
      <c r="D129" s="18"/>
      <c r="E129" s="18"/>
    </row>
    <row r="130" spans="1:5" ht="18">
      <c r="A130" s="137" t="s">
        <v>88</v>
      </c>
      <c r="B130" s="130"/>
      <c r="C130" s="130"/>
      <c r="D130" s="130"/>
      <c r="E130" s="130"/>
    </row>
    <row r="131" spans="1:5" ht="15">
      <c r="A131" s="129" t="s">
        <v>120</v>
      </c>
      <c r="B131" s="131"/>
      <c r="C131" s="131"/>
      <c r="D131" s="131"/>
      <c r="E131" s="131"/>
    </row>
    <row r="132" spans="1:5" ht="15">
      <c r="A132" s="129"/>
      <c r="B132" s="130"/>
      <c r="C132" s="130"/>
      <c r="D132" s="130"/>
      <c r="E132" s="130"/>
    </row>
    <row r="133" spans="1:5" ht="15">
      <c r="A133" s="19"/>
      <c r="B133" s="20" t="s">
        <v>52</v>
      </c>
      <c r="C133" s="129"/>
      <c r="D133" s="131"/>
      <c r="E133" s="131"/>
    </row>
    <row r="134" spans="1:4" ht="15">
      <c r="A134" s="19"/>
      <c r="B134" s="20"/>
      <c r="C134" s="108"/>
      <c r="D134" s="47"/>
    </row>
    <row r="135" spans="1:5" ht="13.5" thickBot="1">
      <c r="A135" s="16" t="s">
        <v>72</v>
      </c>
      <c r="B135" s="3" t="s">
        <v>73</v>
      </c>
      <c r="C135" s="10"/>
      <c r="D135" s="14"/>
      <c r="E135" s="22"/>
    </row>
    <row r="136" spans="1:5" ht="39" thickBot="1">
      <c r="A136" s="72"/>
      <c r="B136" s="73" t="s">
        <v>77</v>
      </c>
      <c r="C136" s="74" t="s">
        <v>78</v>
      </c>
      <c r="D136" s="75" t="s">
        <v>31</v>
      </c>
      <c r="E136" s="76" t="s">
        <v>79</v>
      </c>
    </row>
    <row r="137" spans="1:5" ht="12.75">
      <c r="A137" s="52">
        <v>1</v>
      </c>
      <c r="B137" s="59" t="s">
        <v>89</v>
      </c>
      <c r="C137" s="89">
        <v>1087333.58</v>
      </c>
      <c r="D137" s="90">
        <f>1047699.6+23180.53</f>
        <v>1070880.13</v>
      </c>
      <c r="E137" s="91">
        <f>D137-C137</f>
        <v>-16453.450000000186</v>
      </c>
    </row>
    <row r="138" spans="1:5" ht="13.5" thickBot="1">
      <c r="A138" s="79">
        <v>2</v>
      </c>
      <c r="B138" s="48" t="s">
        <v>91</v>
      </c>
      <c r="C138" s="106">
        <f>2700+4500+4200</f>
        <v>11400</v>
      </c>
      <c r="D138" s="107">
        <f>450+2700+3600+4200</f>
        <v>10950</v>
      </c>
      <c r="E138" s="97">
        <f>D138-C138</f>
        <v>-450</v>
      </c>
    </row>
    <row r="139" spans="1:5" ht="13.5" thickBot="1">
      <c r="A139" s="77"/>
      <c r="B139" s="78"/>
      <c r="C139" s="105">
        <f>SUM(C137:C138)</f>
        <v>1098733.58</v>
      </c>
      <c r="D139" s="105">
        <f>SUM(D137:D138)</f>
        <v>1081830.13</v>
      </c>
      <c r="E139" s="118">
        <f>SUM(E137:E138)</f>
        <v>-16903.450000000186</v>
      </c>
    </row>
    <row r="140" spans="1:5" ht="12.75">
      <c r="A140" s="138" t="s">
        <v>66</v>
      </c>
      <c r="B140" s="139"/>
      <c r="C140" s="139"/>
      <c r="D140" s="139"/>
      <c r="E140" s="110">
        <f>E199</f>
        <v>405118.57999999984</v>
      </c>
    </row>
    <row r="141" spans="1:5" ht="12.75">
      <c r="A141" s="26"/>
      <c r="B141" s="15"/>
      <c r="C141" s="119"/>
      <c r="D141" s="119"/>
      <c r="E141" s="119"/>
    </row>
    <row r="142" spans="1:2" ht="13.5" thickBot="1">
      <c r="A142" s="25"/>
      <c r="B142" s="3" t="s">
        <v>94</v>
      </c>
    </row>
    <row r="143" spans="1:3" ht="12.75">
      <c r="A143" s="101"/>
      <c r="B143" s="102" t="s">
        <v>76</v>
      </c>
      <c r="C143" s="103"/>
    </row>
    <row r="144" spans="1:4" ht="38.25">
      <c r="A144" s="46">
        <v>1</v>
      </c>
      <c r="B144" s="43" t="s">
        <v>13</v>
      </c>
      <c r="C144" s="88">
        <f>C178</f>
        <v>478595.13</v>
      </c>
      <c r="D144" s="21"/>
    </row>
    <row r="145" spans="1:4" ht="38.25">
      <c r="A145" s="46">
        <v>2</v>
      </c>
      <c r="B145" s="17" t="s">
        <v>22</v>
      </c>
      <c r="C145" s="83">
        <f>C185</f>
        <v>35119.5</v>
      </c>
      <c r="D145" s="98"/>
    </row>
    <row r="146" spans="1:4" ht="12.75">
      <c r="A146" s="44">
        <v>3</v>
      </c>
      <c r="B146" s="8" t="s">
        <v>86</v>
      </c>
      <c r="C146" s="100">
        <v>4810.66</v>
      </c>
      <c r="D146" s="98"/>
    </row>
    <row r="147" spans="1:4" ht="12.75">
      <c r="A147" s="46">
        <v>4</v>
      </c>
      <c r="B147" s="8" t="s">
        <v>15</v>
      </c>
      <c r="C147" s="100">
        <v>25476.8</v>
      </c>
      <c r="D147" s="98"/>
    </row>
    <row r="148" spans="1:4" ht="12.75">
      <c r="A148" s="44">
        <v>5</v>
      </c>
      <c r="B148" s="8" t="s">
        <v>37</v>
      </c>
      <c r="C148" s="84">
        <v>33093.81</v>
      </c>
      <c r="D148" s="98"/>
    </row>
    <row r="149" spans="1:4" ht="12.75">
      <c r="A149" s="44">
        <v>6</v>
      </c>
      <c r="B149" s="8" t="s">
        <v>38</v>
      </c>
      <c r="C149" s="84">
        <v>91475.77</v>
      </c>
      <c r="D149" s="98"/>
    </row>
    <row r="150" spans="1:4" ht="12.75">
      <c r="A150" s="44">
        <v>7</v>
      </c>
      <c r="B150" s="17" t="s">
        <v>96</v>
      </c>
      <c r="C150" s="88">
        <v>309.3</v>
      </c>
      <c r="D150" s="98"/>
    </row>
    <row r="151" spans="1:5" ht="12.75">
      <c r="A151" s="44">
        <v>8</v>
      </c>
      <c r="B151" s="50" t="s">
        <v>97</v>
      </c>
      <c r="C151" s="88">
        <v>1804.4</v>
      </c>
      <c r="D151" s="98"/>
      <c r="E151" t="s">
        <v>87</v>
      </c>
    </row>
    <row r="152" spans="1:4" ht="12.75">
      <c r="A152" s="44">
        <v>9</v>
      </c>
      <c r="B152" s="50" t="s">
        <v>139</v>
      </c>
      <c r="C152" s="88">
        <v>104232.25</v>
      </c>
      <c r="D152" s="98"/>
    </row>
    <row r="153" spans="1:4" ht="12.75">
      <c r="A153" s="44">
        <v>10</v>
      </c>
      <c r="B153" s="50" t="s">
        <v>140</v>
      </c>
      <c r="C153" s="88">
        <v>37760</v>
      </c>
      <c r="D153" s="98"/>
    </row>
    <row r="154" spans="1:4" ht="12.75">
      <c r="A154" s="44">
        <v>11</v>
      </c>
      <c r="B154" s="17" t="s">
        <v>127</v>
      </c>
      <c r="C154" s="88">
        <v>3826.05</v>
      </c>
      <c r="D154" s="98"/>
    </row>
    <row r="155" spans="1:4" ht="12.75">
      <c r="A155" s="44">
        <v>12</v>
      </c>
      <c r="B155" s="50" t="s">
        <v>125</v>
      </c>
      <c r="C155" s="88">
        <v>9000</v>
      </c>
      <c r="D155" s="98"/>
    </row>
    <row r="156" spans="1:4" ht="25.5">
      <c r="A156" s="44">
        <v>13</v>
      </c>
      <c r="B156" s="17" t="s">
        <v>118</v>
      </c>
      <c r="C156" s="88">
        <v>112</v>
      </c>
      <c r="D156" s="98"/>
    </row>
    <row r="157" spans="1:4" ht="25.5">
      <c r="A157" s="44">
        <v>14</v>
      </c>
      <c r="B157" s="17" t="s">
        <v>141</v>
      </c>
      <c r="C157" s="88">
        <v>18000</v>
      </c>
      <c r="D157" s="98"/>
    </row>
    <row r="158" spans="1:4" ht="25.5">
      <c r="A158" s="44">
        <v>15</v>
      </c>
      <c r="B158" s="17" t="s">
        <v>44</v>
      </c>
      <c r="C158" s="88">
        <v>1000</v>
      </c>
      <c r="D158" s="98"/>
    </row>
    <row r="159" spans="1:4" ht="12.75">
      <c r="A159" s="44">
        <v>16</v>
      </c>
      <c r="B159" s="17" t="s">
        <v>12</v>
      </c>
      <c r="C159" s="88">
        <f>813.53+1144.03</f>
        <v>1957.56</v>
      </c>
      <c r="D159" s="98"/>
    </row>
    <row r="160" spans="1:5" ht="25.5">
      <c r="A160" s="44">
        <v>17</v>
      </c>
      <c r="B160" s="17" t="s">
        <v>128</v>
      </c>
      <c r="C160" s="88">
        <v>181.72</v>
      </c>
      <c r="D160" s="98"/>
      <c r="E160" t="s">
        <v>87</v>
      </c>
    </row>
    <row r="161" spans="1:5" ht="12.75">
      <c r="A161" s="44">
        <v>18</v>
      </c>
      <c r="B161" s="17" t="s">
        <v>129</v>
      </c>
      <c r="C161" s="88">
        <v>40168.19</v>
      </c>
      <c r="D161" s="98"/>
      <c r="E161" t="s">
        <v>87</v>
      </c>
    </row>
    <row r="162" spans="1:4" ht="12.75">
      <c r="A162" s="44">
        <v>19</v>
      </c>
      <c r="B162" s="17" t="s">
        <v>138</v>
      </c>
      <c r="C162" s="88">
        <v>2084.62</v>
      </c>
      <c r="D162" s="98"/>
    </row>
    <row r="163" spans="1:3" ht="12.75">
      <c r="A163" s="44">
        <v>20</v>
      </c>
      <c r="B163" s="8" t="s">
        <v>24</v>
      </c>
      <c r="C163" s="85">
        <f>C139*0.06</f>
        <v>65924.0148</v>
      </c>
    </row>
    <row r="164" spans="1:3" ht="12.75">
      <c r="A164" s="44">
        <v>21</v>
      </c>
      <c r="B164" s="61" t="s">
        <v>90</v>
      </c>
      <c r="C164" s="124">
        <v>10220.94</v>
      </c>
    </row>
    <row r="165" spans="1:3" ht="12.75">
      <c r="A165" s="33"/>
      <c r="B165" s="13" t="s">
        <v>93</v>
      </c>
      <c r="C165" s="120">
        <f>SUM(C144:C164)</f>
        <v>965152.7148000001</v>
      </c>
    </row>
    <row r="166" spans="1:3" ht="12.75">
      <c r="A166" s="32"/>
      <c r="B166" s="8" t="s">
        <v>48</v>
      </c>
      <c r="C166" s="100">
        <f>D139*10%</f>
        <v>108183.01299999999</v>
      </c>
    </row>
    <row r="167" spans="1:4" ht="13.5" thickBot="1">
      <c r="A167" s="39"/>
      <c r="B167" s="34" t="s">
        <v>69</v>
      </c>
      <c r="C167" s="109">
        <f>C165+C166</f>
        <v>1073335.7278</v>
      </c>
      <c r="D167" s="21"/>
    </row>
    <row r="168" spans="1:4" ht="12.75">
      <c r="A168" s="16"/>
      <c r="B168" s="4"/>
      <c r="C168" s="99"/>
      <c r="D168" s="21"/>
    </row>
    <row r="169" spans="1:3" ht="15">
      <c r="A169" s="47" t="s">
        <v>14</v>
      </c>
      <c r="B169" s="111"/>
      <c r="C169" s="99">
        <v>433280.67</v>
      </c>
    </row>
    <row r="170" spans="1:3" ht="15">
      <c r="A170" s="47" t="s">
        <v>119</v>
      </c>
      <c r="B170" s="111"/>
      <c r="C170" s="87">
        <f>-(C139-C167+(-C169))</f>
        <v>407882.8177999999</v>
      </c>
    </row>
    <row r="171" spans="1:3" ht="15">
      <c r="A171" s="16"/>
      <c r="B171" s="11"/>
      <c r="C171" s="87"/>
    </row>
    <row r="172" ht="12.75">
      <c r="B172" s="1" t="s">
        <v>71</v>
      </c>
    </row>
    <row r="173" ht="12.75">
      <c r="B173" s="1" t="s">
        <v>28</v>
      </c>
    </row>
    <row r="174" ht="12.75">
      <c r="B174" s="1"/>
    </row>
    <row r="175" spans="1:4" ht="12.75">
      <c r="A175" s="2"/>
      <c r="B175" s="2"/>
      <c r="C175" s="2" t="s">
        <v>75</v>
      </c>
      <c r="D175" s="2"/>
    </row>
    <row r="176" spans="1:4" ht="12.75">
      <c r="A176" s="2"/>
      <c r="B176" s="2"/>
      <c r="C176" s="2" t="s">
        <v>54</v>
      </c>
      <c r="D176" s="2"/>
    </row>
    <row r="177" spans="1:4" ht="13.5" thickBot="1">
      <c r="A177" s="25"/>
      <c r="B177" s="25" t="s">
        <v>68</v>
      </c>
      <c r="C177" s="23"/>
      <c r="D177" s="53"/>
    </row>
    <row r="178" spans="1:5" ht="12.75">
      <c r="A178" s="35" t="s">
        <v>95</v>
      </c>
      <c r="B178" s="27" t="s">
        <v>50</v>
      </c>
      <c r="C178" s="31">
        <f>C180+C181+C182+C183+C184+386659.13</f>
        <v>478595.13</v>
      </c>
      <c r="D178" s="12"/>
      <c r="E178" s="14"/>
    </row>
    <row r="179" spans="1:5" ht="12.75">
      <c r="A179" s="36"/>
      <c r="B179" s="6" t="s">
        <v>92</v>
      </c>
      <c r="C179" s="28"/>
      <c r="D179" s="12"/>
      <c r="E179" s="14"/>
    </row>
    <row r="180" spans="1:5" ht="12.75">
      <c r="A180" s="37" t="s">
        <v>85</v>
      </c>
      <c r="B180" s="6" t="s">
        <v>70</v>
      </c>
      <c r="C180" s="28">
        <f>6660+1257.65</f>
        <v>7917.65</v>
      </c>
      <c r="D180" s="12"/>
      <c r="E180" s="12"/>
    </row>
    <row r="181" spans="1:5" ht="12.75">
      <c r="A181" s="37" t="s">
        <v>85</v>
      </c>
      <c r="B181" s="40" t="s">
        <v>134</v>
      </c>
      <c r="C181" s="41">
        <v>10000</v>
      </c>
      <c r="D181" s="12"/>
      <c r="E181" s="12"/>
    </row>
    <row r="182" spans="1:5" ht="12.75">
      <c r="A182" s="37" t="s">
        <v>85</v>
      </c>
      <c r="B182" s="40" t="s">
        <v>124</v>
      </c>
      <c r="C182" s="41">
        <v>27721.1</v>
      </c>
      <c r="D182" s="12"/>
      <c r="E182" s="12"/>
    </row>
    <row r="183" spans="1:5" ht="12.75">
      <c r="A183" s="49" t="s">
        <v>85</v>
      </c>
      <c r="B183" s="40" t="s">
        <v>135</v>
      </c>
      <c r="C183" s="41">
        <v>22133</v>
      </c>
      <c r="D183" s="12"/>
      <c r="E183" s="12"/>
    </row>
    <row r="184" spans="1:5" ht="13.5" thickBot="1">
      <c r="A184" s="49" t="s">
        <v>85</v>
      </c>
      <c r="B184" s="40" t="s">
        <v>126</v>
      </c>
      <c r="C184" s="41">
        <v>24164.25</v>
      </c>
      <c r="D184" s="12"/>
      <c r="E184" s="12"/>
    </row>
    <row r="185" spans="1:5" ht="12.75">
      <c r="A185" s="35" t="s">
        <v>116</v>
      </c>
      <c r="B185" s="27" t="s">
        <v>29</v>
      </c>
      <c r="C185" s="31">
        <f>C187+25731.24</f>
        <v>35119.5</v>
      </c>
      <c r="D185" s="12"/>
      <c r="E185" s="10"/>
    </row>
    <row r="186" spans="1:5" ht="12.75">
      <c r="A186" s="36"/>
      <c r="B186" s="6" t="s">
        <v>92</v>
      </c>
      <c r="C186" s="28"/>
      <c r="D186" s="12"/>
      <c r="E186" s="14"/>
    </row>
    <row r="187" spans="1:5" ht="13.5" thickBot="1">
      <c r="A187" s="38" t="s">
        <v>85</v>
      </c>
      <c r="B187" s="29" t="s">
        <v>70</v>
      </c>
      <c r="C187" s="30">
        <f>7329+2059.26</f>
        <v>9388.26</v>
      </c>
      <c r="D187" s="12"/>
      <c r="E187" s="12"/>
    </row>
    <row r="188" ht="13.5" thickBot="1"/>
    <row r="189" spans="2:5" ht="24.75" thickBot="1">
      <c r="B189" s="60"/>
      <c r="C189" s="65" t="s">
        <v>78</v>
      </c>
      <c r="D189" s="71" t="s">
        <v>31</v>
      </c>
      <c r="E189" s="56" t="s">
        <v>30</v>
      </c>
    </row>
    <row r="190" spans="2:5" ht="13.5" thickBot="1">
      <c r="B190" s="140" t="s">
        <v>136</v>
      </c>
      <c r="C190" s="141"/>
      <c r="D190" s="141"/>
      <c r="E190" s="142"/>
    </row>
    <row r="191" spans="2:5" ht="12.75">
      <c r="B191" s="58" t="s">
        <v>89</v>
      </c>
      <c r="C191" s="89">
        <v>863575.23</v>
      </c>
      <c r="D191" s="90">
        <f>1317955.96-32108.7</f>
        <v>1285847.26</v>
      </c>
      <c r="E191" s="68">
        <f>D191-C191</f>
        <v>422272.03</v>
      </c>
    </row>
    <row r="192" spans="2:5" ht="13.5" thickBot="1">
      <c r="B192" s="63" t="s">
        <v>91</v>
      </c>
      <c r="C192" s="106">
        <f>3150+7700</f>
        <v>10850</v>
      </c>
      <c r="D192" s="107">
        <f>3600+7000</f>
        <v>10600</v>
      </c>
      <c r="E192" s="70">
        <f>D192-C192</f>
        <v>-250</v>
      </c>
    </row>
    <row r="193" spans="2:5" ht="13.5" thickBot="1">
      <c r="B193" s="55"/>
      <c r="C193" s="81">
        <f>SUM(C191:C192)</f>
        <v>874425.23</v>
      </c>
      <c r="D193" s="81">
        <f>SUM(D191:D192)</f>
        <v>1296447.26</v>
      </c>
      <c r="E193" s="57">
        <f>SUM(E191:E192)</f>
        <v>422022.03</v>
      </c>
    </row>
    <row r="194" spans="2:5" ht="13.5" thickBot="1">
      <c r="B194" s="140" t="s">
        <v>137</v>
      </c>
      <c r="C194" s="141"/>
      <c r="D194" s="141"/>
      <c r="E194" s="142"/>
    </row>
    <row r="195" spans="2:5" ht="12.75">
      <c r="B195" s="58" t="s">
        <v>89</v>
      </c>
      <c r="C195" s="89">
        <v>1087333.58</v>
      </c>
      <c r="D195" s="90">
        <f>1047699.6+23180.53</f>
        <v>1070880.13</v>
      </c>
      <c r="E195" s="91">
        <f>D195-C195</f>
        <v>-16453.450000000186</v>
      </c>
    </row>
    <row r="196" spans="2:5" ht="13.5" thickBot="1">
      <c r="B196" s="63" t="s">
        <v>91</v>
      </c>
      <c r="C196" s="106">
        <f>2700+4500+4200</f>
        <v>11400</v>
      </c>
      <c r="D196" s="107">
        <f>450+2700+3600+4200</f>
        <v>10950</v>
      </c>
      <c r="E196" s="97">
        <f>D196-C196</f>
        <v>-450</v>
      </c>
    </row>
    <row r="197" spans="2:5" ht="13.5" thickBot="1">
      <c r="B197" s="55"/>
      <c r="C197" s="80">
        <f>SUM(C195:C196)</f>
        <v>1098733.58</v>
      </c>
      <c r="D197" s="80">
        <f>SUM(D195:D196)</f>
        <v>1081830.13</v>
      </c>
      <c r="E197" s="57">
        <f>SUM(E195:E196)</f>
        <v>-16903.450000000186</v>
      </c>
    </row>
    <row r="198" spans="2:5" ht="13.5" thickBot="1">
      <c r="B198" s="143" t="s">
        <v>80</v>
      </c>
      <c r="C198" s="144"/>
      <c r="D198" s="144"/>
      <c r="E198" s="145"/>
    </row>
    <row r="199" spans="2:5" ht="13.5" thickBot="1">
      <c r="B199" s="62"/>
      <c r="C199" s="64">
        <f>C193+C197</f>
        <v>1973158.81</v>
      </c>
      <c r="D199" s="64">
        <f>D193+D197</f>
        <v>2378277.3899999997</v>
      </c>
      <c r="E199" s="64">
        <f>E193+E197</f>
        <v>405118.57999999984</v>
      </c>
    </row>
  </sheetData>
  <sheetProtection/>
  <mergeCells count="30">
    <mergeCell ref="A15:D15"/>
    <mergeCell ref="A5:E5"/>
    <mergeCell ref="A6:E6"/>
    <mergeCell ref="A7:E7"/>
    <mergeCell ref="C8:E8"/>
    <mergeCell ref="A1:B1"/>
    <mergeCell ref="C1:E1"/>
    <mergeCell ref="C2:E2"/>
    <mergeCell ref="B3:E3"/>
    <mergeCell ref="A73:D73"/>
    <mergeCell ref="A63:E63"/>
    <mergeCell ref="A64:E64"/>
    <mergeCell ref="A65:E65"/>
    <mergeCell ref="C66:E66"/>
    <mergeCell ref="A59:B59"/>
    <mergeCell ref="C59:E59"/>
    <mergeCell ref="C60:E60"/>
    <mergeCell ref="B61:E61"/>
    <mergeCell ref="A126:B126"/>
    <mergeCell ref="C126:E126"/>
    <mergeCell ref="C127:E127"/>
    <mergeCell ref="B128:E128"/>
    <mergeCell ref="A130:E130"/>
    <mergeCell ref="A131:E131"/>
    <mergeCell ref="A132:E132"/>
    <mergeCell ref="C133:E133"/>
    <mergeCell ref="B190:E190"/>
    <mergeCell ref="B194:E194"/>
    <mergeCell ref="B198:E198"/>
    <mergeCell ref="A140:D140"/>
  </mergeCells>
  <printOptions/>
  <pageMargins left="0.5905511811023623" right="0.1968503937007874" top="0.1968503937007874" bottom="0.1968503937007874" header="0.5118110236220472" footer="0.5118110236220472"/>
  <pageSetup fitToHeight="1" fitToWidth="1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0"/>
  <sheetViews>
    <sheetView zoomScalePageLayoutView="0" workbookViewId="0" topLeftCell="A144">
      <selection activeCell="C173" sqref="C173"/>
    </sheetView>
  </sheetViews>
  <sheetFormatPr defaultColWidth="9.00390625" defaultRowHeight="12.75"/>
  <cols>
    <col min="1" max="1" width="3.375" style="0" customWidth="1"/>
    <col min="2" max="2" width="55.75390625" style="0" customWidth="1"/>
    <col min="3" max="4" width="12.375" style="0" customWidth="1"/>
    <col min="5" max="5" width="11.75390625" style="0" customWidth="1"/>
  </cols>
  <sheetData>
    <row r="1" spans="1:5" ht="12.75">
      <c r="A1" s="132"/>
      <c r="B1" s="132"/>
      <c r="C1" s="133" t="s">
        <v>84</v>
      </c>
      <c r="D1" s="134"/>
      <c r="E1" s="134"/>
    </row>
    <row r="2" spans="1:5" ht="14.25">
      <c r="A2" s="16"/>
      <c r="B2" s="104"/>
      <c r="C2" s="135" t="s">
        <v>20</v>
      </c>
      <c r="D2" s="136"/>
      <c r="E2" s="136"/>
    </row>
    <row r="3" spans="1:5" ht="14.25">
      <c r="A3" s="16"/>
      <c r="B3" s="135" t="s">
        <v>21</v>
      </c>
      <c r="C3" s="136"/>
      <c r="D3" s="136"/>
      <c r="E3" s="136"/>
    </row>
    <row r="4" spans="1:5" ht="12.75">
      <c r="A4" s="16"/>
      <c r="B4" s="24"/>
      <c r="C4" s="18"/>
      <c r="D4" s="18"/>
      <c r="E4" s="18"/>
    </row>
    <row r="5" spans="1:5" ht="18">
      <c r="A5" s="137" t="s">
        <v>33</v>
      </c>
      <c r="B5" s="130"/>
      <c r="C5" s="130"/>
      <c r="D5" s="130"/>
      <c r="E5" s="130"/>
    </row>
    <row r="6" spans="1:5" ht="15">
      <c r="A6" s="129" t="s">
        <v>34</v>
      </c>
      <c r="B6" s="131"/>
      <c r="C6" s="131"/>
      <c r="D6" s="131"/>
      <c r="E6" s="131"/>
    </row>
    <row r="7" spans="1:5" ht="15">
      <c r="A7" s="129"/>
      <c r="B7" s="130"/>
      <c r="C7" s="130"/>
      <c r="D7" s="130"/>
      <c r="E7" s="130"/>
    </row>
    <row r="8" spans="1:5" ht="15">
      <c r="A8" s="19"/>
      <c r="B8" s="20" t="s">
        <v>56</v>
      </c>
      <c r="C8" s="129"/>
      <c r="D8" s="131"/>
      <c r="E8" s="131"/>
    </row>
    <row r="9" spans="1:4" ht="15">
      <c r="A9" s="19"/>
      <c r="B9" s="20" t="s">
        <v>81</v>
      </c>
      <c r="C9" s="108">
        <v>2668.2</v>
      </c>
      <c r="D9" s="47" t="s">
        <v>82</v>
      </c>
    </row>
    <row r="10" spans="1:5" ht="13.5" thickBot="1">
      <c r="A10" s="16" t="s">
        <v>72</v>
      </c>
      <c r="B10" s="3" t="s">
        <v>73</v>
      </c>
      <c r="C10" s="10"/>
      <c r="D10" s="14"/>
      <c r="E10" s="22"/>
    </row>
    <row r="11" spans="1:5" ht="39" thickBot="1">
      <c r="A11" s="72"/>
      <c r="B11" s="73" t="s">
        <v>77</v>
      </c>
      <c r="C11" s="74" t="s">
        <v>78</v>
      </c>
      <c r="D11" s="75" t="s">
        <v>31</v>
      </c>
      <c r="E11" s="76" t="s">
        <v>79</v>
      </c>
    </row>
    <row r="12" spans="1:5" ht="12.75">
      <c r="A12" s="52">
        <v>1</v>
      </c>
      <c r="B12" s="59" t="s">
        <v>89</v>
      </c>
      <c r="C12" s="89">
        <v>326522.7</v>
      </c>
      <c r="D12" s="90">
        <f>460807.1</f>
        <v>460807.1</v>
      </c>
      <c r="E12" s="91">
        <f>D12-C12</f>
        <v>134284.39999999997</v>
      </c>
    </row>
    <row r="13" spans="1:5" ht="13.5" thickBot="1">
      <c r="A13" s="45">
        <v>2</v>
      </c>
      <c r="B13" s="5" t="s">
        <v>91</v>
      </c>
      <c r="C13" s="112">
        <f>2700+2800</f>
        <v>5500</v>
      </c>
      <c r="D13" s="113">
        <f>2700+2800</f>
        <v>5500</v>
      </c>
      <c r="E13" s="94">
        <f>D13-C13</f>
        <v>0</v>
      </c>
    </row>
    <row r="14" spans="1:5" ht="13.5" thickBot="1">
      <c r="A14" s="66"/>
      <c r="B14" s="67"/>
      <c r="C14" s="95">
        <f>SUM(C12:C13)</f>
        <v>332022.7</v>
      </c>
      <c r="D14" s="95">
        <f>SUM(D12:D13)</f>
        <v>466307.1</v>
      </c>
      <c r="E14" s="114">
        <f>SUM(E12:E13)</f>
        <v>134284.39999999997</v>
      </c>
    </row>
    <row r="15" spans="1:5" ht="12.75">
      <c r="A15" s="138" t="s">
        <v>67</v>
      </c>
      <c r="B15" s="131"/>
      <c r="C15" s="131"/>
      <c r="D15" s="131"/>
      <c r="E15" s="99">
        <v>313830.42</v>
      </c>
    </row>
    <row r="16" spans="1:2" ht="13.5" thickBot="1">
      <c r="A16" s="25"/>
      <c r="B16" s="3" t="s">
        <v>94</v>
      </c>
    </row>
    <row r="17" spans="1:3" ht="12.75">
      <c r="A17" s="101"/>
      <c r="B17" s="102" t="s">
        <v>76</v>
      </c>
      <c r="C17" s="103"/>
    </row>
    <row r="18" spans="1:4" ht="38.25">
      <c r="A18" s="46">
        <v>1</v>
      </c>
      <c r="B18" s="43" t="s">
        <v>36</v>
      </c>
      <c r="C18" s="88">
        <f>C48</f>
        <v>234962.81</v>
      </c>
      <c r="D18" s="21"/>
    </row>
    <row r="19" spans="1:4" ht="38.25">
      <c r="A19" s="46">
        <v>2</v>
      </c>
      <c r="B19" s="17" t="s">
        <v>22</v>
      </c>
      <c r="C19" s="83">
        <f>C53</f>
        <v>20924.54</v>
      </c>
      <c r="D19" s="98"/>
    </row>
    <row r="20" spans="1:4" ht="12.75">
      <c r="A20" s="44">
        <v>3</v>
      </c>
      <c r="B20" s="8" t="s">
        <v>86</v>
      </c>
      <c r="C20" s="85">
        <v>6914.38</v>
      </c>
      <c r="D20" s="98"/>
    </row>
    <row r="21" spans="1:4" ht="12.75">
      <c r="A21" s="46">
        <v>4</v>
      </c>
      <c r="B21" s="8" t="s">
        <v>98</v>
      </c>
      <c r="C21" s="85">
        <v>10245.54</v>
      </c>
      <c r="D21" s="98"/>
    </row>
    <row r="22" spans="1:4" ht="12.75">
      <c r="A22" s="44">
        <v>5</v>
      </c>
      <c r="B22" s="8" t="s">
        <v>37</v>
      </c>
      <c r="C22" s="84">
        <v>12779.7</v>
      </c>
      <c r="D22" s="98"/>
    </row>
    <row r="23" spans="1:4" ht="12.75">
      <c r="A23" s="44">
        <v>6</v>
      </c>
      <c r="B23" s="8" t="s">
        <v>38</v>
      </c>
      <c r="C23" s="84">
        <v>46107.92</v>
      </c>
      <c r="D23" s="98"/>
    </row>
    <row r="24" spans="1:4" ht="12.75">
      <c r="A24" s="44">
        <v>7</v>
      </c>
      <c r="B24" s="17" t="s">
        <v>96</v>
      </c>
      <c r="C24" s="82">
        <v>97.2</v>
      </c>
      <c r="D24" s="98"/>
    </row>
    <row r="25" spans="1:5" ht="25.5">
      <c r="A25" s="44">
        <v>8</v>
      </c>
      <c r="B25" s="17" t="s">
        <v>97</v>
      </c>
      <c r="C25" s="82">
        <v>340.12</v>
      </c>
      <c r="D25" s="98"/>
      <c r="E25" t="s">
        <v>87</v>
      </c>
    </row>
    <row r="26" spans="1:4" ht="25.5">
      <c r="A26" s="46">
        <v>9</v>
      </c>
      <c r="B26" s="17" t="s">
        <v>39</v>
      </c>
      <c r="C26" s="82">
        <v>51000</v>
      </c>
      <c r="D26" s="98"/>
    </row>
    <row r="27" spans="1:4" ht="12.75">
      <c r="A27" s="46">
        <v>10</v>
      </c>
      <c r="B27" s="17" t="s">
        <v>40</v>
      </c>
      <c r="C27" s="82">
        <v>1200</v>
      </c>
      <c r="D27" s="98"/>
    </row>
    <row r="28" spans="1:4" ht="25.5">
      <c r="A28" s="46">
        <v>11</v>
      </c>
      <c r="B28" s="17" t="s">
        <v>41</v>
      </c>
      <c r="C28" s="82">
        <v>4500</v>
      </c>
      <c r="D28" s="98"/>
    </row>
    <row r="29" spans="1:4" ht="25.5">
      <c r="A29" s="46">
        <v>12</v>
      </c>
      <c r="B29" s="17" t="s">
        <v>42</v>
      </c>
      <c r="C29" s="82">
        <v>1579.23</v>
      </c>
      <c r="D29" s="98"/>
    </row>
    <row r="30" spans="1:4" ht="25.5">
      <c r="A30" s="46">
        <v>13</v>
      </c>
      <c r="B30" s="17" t="s">
        <v>10</v>
      </c>
      <c r="C30" s="82">
        <v>728.88</v>
      </c>
      <c r="D30" s="98"/>
    </row>
    <row r="31" spans="1:4" ht="12.75">
      <c r="A31" s="46">
        <v>14</v>
      </c>
      <c r="B31" s="17" t="s">
        <v>43</v>
      </c>
      <c r="C31" s="82">
        <v>4899.15</v>
      </c>
      <c r="D31" s="98"/>
    </row>
    <row r="32" spans="1:4" ht="25.5">
      <c r="A32" s="46">
        <v>15</v>
      </c>
      <c r="B32" s="17" t="s">
        <v>44</v>
      </c>
      <c r="C32" s="82">
        <v>875</v>
      </c>
      <c r="D32" s="98"/>
    </row>
    <row r="33" spans="1:5" ht="12.75">
      <c r="A33" s="44">
        <v>16</v>
      </c>
      <c r="B33" s="17" t="s">
        <v>45</v>
      </c>
      <c r="C33" s="82">
        <v>686</v>
      </c>
      <c r="D33" s="98"/>
      <c r="E33" t="s">
        <v>87</v>
      </c>
    </row>
    <row r="34" spans="1:5" ht="12.75">
      <c r="A34" s="44">
        <v>17</v>
      </c>
      <c r="B34" s="17" t="s">
        <v>46</v>
      </c>
      <c r="C34" s="82">
        <v>306</v>
      </c>
      <c r="D34" s="98"/>
      <c r="E34" t="s">
        <v>87</v>
      </c>
    </row>
    <row r="35" spans="1:4" ht="25.5">
      <c r="A35" s="46">
        <v>18</v>
      </c>
      <c r="B35" s="17" t="s">
        <v>47</v>
      </c>
      <c r="C35" s="82">
        <v>500</v>
      </c>
      <c r="D35" s="98"/>
    </row>
    <row r="36" spans="1:3" ht="12.75">
      <c r="A36" s="33"/>
      <c r="B36" s="13" t="s">
        <v>93</v>
      </c>
      <c r="C36" s="86">
        <f>SUM(C18:C35)</f>
        <v>398646.47</v>
      </c>
    </row>
    <row r="37" spans="1:3" ht="12.75">
      <c r="A37" s="32"/>
      <c r="B37" s="8" t="s">
        <v>48</v>
      </c>
      <c r="C37" s="85">
        <f>(D14)*10%</f>
        <v>46630.71</v>
      </c>
    </row>
    <row r="38" spans="1:4" ht="12.75">
      <c r="A38" s="7"/>
      <c r="B38" s="9" t="s">
        <v>69</v>
      </c>
      <c r="C38" s="115">
        <f>C36+C37</f>
        <v>445277.18</v>
      </c>
      <c r="D38" s="21"/>
    </row>
    <row r="39" spans="1:4" ht="12.75">
      <c r="A39" s="16"/>
      <c r="B39" s="4"/>
      <c r="C39" s="87"/>
      <c r="D39" s="21"/>
    </row>
    <row r="40" spans="1:3" ht="15">
      <c r="A40" s="47" t="s">
        <v>27</v>
      </c>
      <c r="B40" s="111"/>
      <c r="C40" s="87">
        <f>C38-C14</f>
        <v>113254.47999999998</v>
      </c>
    </row>
    <row r="41" spans="1:3" ht="15">
      <c r="A41" s="16"/>
      <c r="B41" s="11"/>
      <c r="C41" s="87"/>
    </row>
    <row r="42" ht="12.75">
      <c r="B42" s="1" t="s">
        <v>71</v>
      </c>
    </row>
    <row r="43" ht="12.75">
      <c r="B43" s="1" t="s">
        <v>28</v>
      </c>
    </row>
    <row r="44" ht="12.75">
      <c r="B44" s="1"/>
    </row>
    <row r="45" spans="1:4" ht="12.75">
      <c r="A45" s="2"/>
      <c r="B45" s="2"/>
      <c r="C45" s="2" t="s">
        <v>75</v>
      </c>
      <c r="D45" s="2"/>
    </row>
    <row r="46" spans="1:4" ht="12.75">
      <c r="A46" s="2"/>
      <c r="B46" s="2"/>
      <c r="C46" s="2" t="s">
        <v>57</v>
      </c>
      <c r="D46" s="2"/>
    </row>
    <row r="47" spans="1:5" ht="13.5" thickBot="1">
      <c r="A47" s="25"/>
      <c r="B47" s="25" t="s">
        <v>68</v>
      </c>
      <c r="C47" s="23" t="s">
        <v>83</v>
      </c>
      <c r="D47" s="53">
        <f>C9</f>
        <v>2668.2</v>
      </c>
      <c r="E47" t="s">
        <v>82</v>
      </c>
    </row>
    <row r="48" spans="1:5" ht="12.75">
      <c r="A48" s="35" t="s">
        <v>95</v>
      </c>
      <c r="B48" s="27" t="s">
        <v>50</v>
      </c>
      <c r="C48" s="31">
        <f>231771.57+C50+C51+C52</f>
        <v>234962.81</v>
      </c>
      <c r="D48" s="12"/>
      <c r="E48" s="14"/>
    </row>
    <row r="49" spans="1:5" ht="12.75">
      <c r="A49" s="36"/>
      <c r="B49" s="6" t="s">
        <v>92</v>
      </c>
      <c r="C49" s="28"/>
      <c r="D49" s="12"/>
      <c r="E49" s="14"/>
    </row>
    <row r="50" spans="1:5" ht="12.75">
      <c r="A50" s="37" t="s">
        <v>85</v>
      </c>
      <c r="B50" s="6" t="s">
        <v>70</v>
      </c>
      <c r="C50" s="28">
        <v>1291.33</v>
      </c>
      <c r="D50" s="12"/>
      <c r="E50" s="12"/>
    </row>
    <row r="51" spans="1:5" ht="12.75">
      <c r="A51" s="37" t="s">
        <v>85</v>
      </c>
      <c r="B51" s="40" t="s">
        <v>51</v>
      </c>
      <c r="C51" s="41">
        <v>68.74</v>
      </c>
      <c r="D51" s="12"/>
      <c r="E51" s="12"/>
    </row>
    <row r="52" spans="1:5" ht="13.5" thickBot="1">
      <c r="A52" s="49" t="s">
        <v>85</v>
      </c>
      <c r="B52" s="40" t="s">
        <v>11</v>
      </c>
      <c r="C52" s="41">
        <f>1143.74+687.43</f>
        <v>1831.17</v>
      </c>
      <c r="D52" s="12"/>
      <c r="E52" s="12"/>
    </row>
    <row r="53" spans="1:5" ht="12.75">
      <c r="A53" s="35" t="s">
        <v>116</v>
      </c>
      <c r="B53" s="27" t="s">
        <v>29</v>
      </c>
      <c r="C53" s="31">
        <f>11821.54+C55</f>
        <v>20924.54</v>
      </c>
      <c r="D53" s="12"/>
      <c r="E53" s="10"/>
    </row>
    <row r="54" spans="1:5" ht="12.75">
      <c r="A54" s="36"/>
      <c r="B54" s="6" t="s">
        <v>92</v>
      </c>
      <c r="C54" s="28"/>
      <c r="D54" s="12"/>
      <c r="E54" s="14"/>
    </row>
    <row r="55" spans="1:5" ht="13.5" thickBot="1">
      <c r="A55" s="38" t="s">
        <v>85</v>
      </c>
      <c r="B55" s="29" t="s">
        <v>70</v>
      </c>
      <c r="C55" s="30">
        <f>4993+4110</f>
        <v>9103</v>
      </c>
      <c r="D55" s="12"/>
      <c r="E55" s="12"/>
    </row>
    <row r="57" spans="1:5" ht="12.75">
      <c r="A57" s="132"/>
      <c r="B57" s="132"/>
      <c r="C57" s="133" t="s">
        <v>84</v>
      </c>
      <c r="D57" s="134"/>
      <c r="E57" s="134"/>
    </row>
    <row r="58" spans="1:5" ht="14.25">
      <c r="A58" s="16"/>
      <c r="B58" s="104"/>
      <c r="C58" s="135" t="s">
        <v>20</v>
      </c>
      <c r="D58" s="136"/>
      <c r="E58" s="136"/>
    </row>
    <row r="59" spans="1:5" ht="14.25">
      <c r="A59" s="16"/>
      <c r="B59" s="135" t="s">
        <v>21</v>
      </c>
      <c r="C59" s="136"/>
      <c r="D59" s="136"/>
      <c r="E59" s="136"/>
    </row>
    <row r="60" spans="1:5" ht="12.75">
      <c r="A60" s="16"/>
      <c r="B60" s="24"/>
      <c r="C60" s="18"/>
      <c r="D60" s="18"/>
      <c r="E60" s="18"/>
    </row>
    <row r="61" spans="1:5" ht="18">
      <c r="A61" s="137" t="s">
        <v>88</v>
      </c>
      <c r="B61" s="130"/>
      <c r="C61" s="130"/>
      <c r="D61" s="130"/>
      <c r="E61" s="130"/>
    </row>
    <row r="62" spans="1:5" ht="15">
      <c r="A62" s="129" t="s">
        <v>103</v>
      </c>
      <c r="B62" s="131"/>
      <c r="C62" s="131"/>
      <c r="D62" s="131"/>
      <c r="E62" s="131"/>
    </row>
    <row r="63" spans="1:5" ht="15">
      <c r="A63" s="129"/>
      <c r="B63" s="130"/>
      <c r="C63" s="130"/>
      <c r="D63" s="130"/>
      <c r="E63" s="130"/>
    </row>
    <row r="64" spans="1:5" ht="15">
      <c r="A64" s="19"/>
      <c r="B64" s="20" t="s">
        <v>56</v>
      </c>
      <c r="C64" s="129"/>
      <c r="D64" s="131"/>
      <c r="E64" s="131"/>
    </row>
    <row r="65" spans="1:4" ht="15">
      <c r="A65" s="19"/>
      <c r="B65" s="20"/>
      <c r="C65" s="108"/>
      <c r="D65" s="47"/>
    </row>
    <row r="66" spans="1:5" ht="13.5" thickBot="1">
      <c r="A66" s="16" t="s">
        <v>72</v>
      </c>
      <c r="B66" s="3" t="s">
        <v>73</v>
      </c>
      <c r="C66" s="10"/>
      <c r="D66" s="14"/>
      <c r="E66" s="22"/>
    </row>
    <row r="67" spans="1:5" ht="39" thickBot="1">
      <c r="A67" s="72"/>
      <c r="B67" s="73" t="s">
        <v>77</v>
      </c>
      <c r="C67" s="74" t="s">
        <v>78</v>
      </c>
      <c r="D67" s="75" t="s">
        <v>31</v>
      </c>
      <c r="E67" s="76" t="s">
        <v>79</v>
      </c>
    </row>
    <row r="68" spans="1:5" ht="12.75">
      <c r="A68" s="52">
        <v>1</v>
      </c>
      <c r="B68" s="59" t="s">
        <v>89</v>
      </c>
      <c r="C68" s="89">
        <v>468329.25</v>
      </c>
      <c r="D68" s="90">
        <f>626182.16+1431.87</f>
        <v>627614.03</v>
      </c>
      <c r="E68" s="91">
        <f>D68-C68</f>
        <v>159284.78000000003</v>
      </c>
    </row>
    <row r="69" spans="1:5" ht="13.5" thickBot="1">
      <c r="A69" s="45">
        <v>2</v>
      </c>
      <c r="B69" s="5" t="s">
        <v>91</v>
      </c>
      <c r="C69" s="112">
        <f>3150+3850</f>
        <v>7000</v>
      </c>
      <c r="D69" s="113">
        <f>3600+3500</f>
        <v>7100</v>
      </c>
      <c r="E69" s="94">
        <f>D69-C69</f>
        <v>100</v>
      </c>
    </row>
    <row r="70" spans="1:5" ht="13.5" thickBot="1">
      <c r="A70" s="66"/>
      <c r="B70" s="67"/>
      <c r="C70" s="95">
        <f>SUM(C68:C69)</f>
        <v>475329.25</v>
      </c>
      <c r="D70" s="95">
        <f>SUM(D68:D69)</f>
        <v>634714.03</v>
      </c>
      <c r="E70" s="114">
        <f>SUM(E68:E69)</f>
        <v>159384.78000000003</v>
      </c>
    </row>
    <row r="71" spans="1:5" ht="12.75">
      <c r="A71" s="138"/>
      <c r="B71" s="131"/>
      <c r="C71" s="131"/>
      <c r="D71" s="131"/>
      <c r="E71" s="99"/>
    </row>
    <row r="72" spans="1:2" ht="13.5" thickBot="1">
      <c r="A72" s="25"/>
      <c r="B72" s="3" t="s">
        <v>94</v>
      </c>
    </row>
    <row r="73" spans="1:3" ht="12.75">
      <c r="A73" s="101"/>
      <c r="B73" s="102" t="s">
        <v>76</v>
      </c>
      <c r="C73" s="103"/>
    </row>
    <row r="74" spans="1:4" ht="38.25">
      <c r="A74" s="46">
        <v>1</v>
      </c>
      <c r="B74" s="43" t="s">
        <v>13</v>
      </c>
      <c r="C74" s="88">
        <f>C110</f>
        <v>317951.22</v>
      </c>
      <c r="D74" s="21"/>
    </row>
    <row r="75" spans="1:4" ht="38.25">
      <c r="A75" s="46">
        <v>2</v>
      </c>
      <c r="B75" s="17" t="s">
        <v>22</v>
      </c>
      <c r="C75" s="83">
        <f>C115</f>
        <v>26634.94</v>
      </c>
      <c r="D75" s="98"/>
    </row>
    <row r="76" spans="1:4" ht="12.75">
      <c r="A76" s="44">
        <v>3</v>
      </c>
      <c r="B76" s="8" t="s">
        <v>86</v>
      </c>
      <c r="C76" s="85">
        <f>6914.38+2813.64</f>
        <v>9728.02</v>
      </c>
      <c r="D76" s="98"/>
    </row>
    <row r="77" spans="1:4" ht="12.75">
      <c r="A77" s="46">
        <v>4</v>
      </c>
      <c r="B77" s="8" t="s">
        <v>15</v>
      </c>
      <c r="C77" s="85">
        <v>12646.84</v>
      </c>
      <c r="D77" s="98"/>
    </row>
    <row r="78" spans="1:4" ht="12.75">
      <c r="A78" s="44">
        <v>5</v>
      </c>
      <c r="B78" s="8" t="s">
        <v>37</v>
      </c>
      <c r="C78" s="84">
        <v>15158.98</v>
      </c>
      <c r="D78" s="98"/>
    </row>
    <row r="79" spans="1:4" ht="12.75">
      <c r="A79" s="46">
        <v>6</v>
      </c>
      <c r="B79" s="8" t="s">
        <v>38</v>
      </c>
      <c r="C79" s="84">
        <v>64440.82</v>
      </c>
      <c r="D79" s="98"/>
    </row>
    <row r="80" spans="1:4" ht="12.75">
      <c r="A80" s="44">
        <v>7</v>
      </c>
      <c r="B80" s="17" t="s">
        <v>96</v>
      </c>
      <c r="C80" s="82">
        <v>145.8</v>
      </c>
      <c r="D80" s="98"/>
    </row>
    <row r="81" spans="1:5" ht="12.75">
      <c r="A81" s="46">
        <v>8</v>
      </c>
      <c r="B81" s="50" t="s">
        <v>97</v>
      </c>
      <c r="C81" s="82">
        <v>510.18</v>
      </c>
      <c r="D81" s="98"/>
      <c r="E81" t="s">
        <v>87</v>
      </c>
    </row>
    <row r="82" spans="1:4" ht="12.75">
      <c r="A82" s="46">
        <v>9</v>
      </c>
      <c r="B82" s="50" t="s">
        <v>39</v>
      </c>
      <c r="C82" s="82">
        <v>63000</v>
      </c>
      <c r="D82" s="98"/>
    </row>
    <row r="83" spans="1:4" ht="12.75">
      <c r="A83" s="46">
        <v>10</v>
      </c>
      <c r="B83" s="50" t="s">
        <v>40</v>
      </c>
      <c r="C83" s="82">
        <v>1200</v>
      </c>
      <c r="D83" s="98"/>
    </row>
    <row r="84" spans="1:4" ht="12.75">
      <c r="A84" s="44">
        <v>11</v>
      </c>
      <c r="B84" s="50" t="s">
        <v>41</v>
      </c>
      <c r="C84" s="82">
        <v>4500</v>
      </c>
      <c r="D84" s="98"/>
    </row>
    <row r="85" spans="1:4" ht="25.5">
      <c r="A85" s="46">
        <v>12</v>
      </c>
      <c r="B85" s="17" t="s">
        <v>42</v>
      </c>
      <c r="C85" s="82">
        <v>1579.23</v>
      </c>
      <c r="D85" s="98"/>
    </row>
    <row r="86" spans="1:4" ht="25.5">
      <c r="A86" s="46">
        <v>13</v>
      </c>
      <c r="B86" s="17" t="s">
        <v>10</v>
      </c>
      <c r="C86" s="82">
        <v>728.88</v>
      </c>
      <c r="D86" s="98"/>
    </row>
    <row r="87" spans="1:4" ht="12.75">
      <c r="A87" s="46">
        <v>14</v>
      </c>
      <c r="B87" s="17" t="s">
        <v>0</v>
      </c>
      <c r="C87" s="82">
        <v>4899.15</v>
      </c>
      <c r="D87" s="98"/>
    </row>
    <row r="88" spans="1:4" ht="25.5">
      <c r="A88" s="46">
        <v>15</v>
      </c>
      <c r="B88" s="17" t="s">
        <v>44</v>
      </c>
      <c r="C88" s="82">
        <v>875</v>
      </c>
      <c r="D88" s="98"/>
    </row>
    <row r="89" spans="1:5" ht="12.75">
      <c r="A89" s="46">
        <v>16</v>
      </c>
      <c r="B89" s="17" t="s">
        <v>45</v>
      </c>
      <c r="C89" s="82">
        <v>686</v>
      </c>
      <c r="D89" s="98"/>
      <c r="E89" t="s">
        <v>87</v>
      </c>
    </row>
    <row r="90" spans="1:5" ht="12.75">
      <c r="A90" s="44">
        <v>17</v>
      </c>
      <c r="B90" s="17" t="s">
        <v>46</v>
      </c>
      <c r="C90" s="82">
        <v>306</v>
      </c>
      <c r="D90" s="98"/>
      <c r="E90" t="s">
        <v>87</v>
      </c>
    </row>
    <row r="91" spans="1:4" ht="12.75">
      <c r="A91" s="46">
        <v>18</v>
      </c>
      <c r="B91" s="17" t="s">
        <v>12</v>
      </c>
      <c r="C91" s="88">
        <f>7951.54+2970.1</f>
        <v>10921.64</v>
      </c>
      <c r="D91" s="98"/>
    </row>
    <row r="92" spans="1:4" ht="12.75">
      <c r="A92" s="44">
        <v>19</v>
      </c>
      <c r="B92" s="17" t="s">
        <v>17</v>
      </c>
      <c r="C92" s="88">
        <v>3568.58</v>
      </c>
      <c r="D92" s="98"/>
    </row>
    <row r="93" spans="1:4" ht="25.5">
      <c r="A93" s="46">
        <v>20</v>
      </c>
      <c r="B93" s="17" t="s">
        <v>47</v>
      </c>
      <c r="C93" s="82">
        <v>500</v>
      </c>
      <c r="D93" s="98"/>
    </row>
    <row r="94" spans="1:3" ht="12.75">
      <c r="A94" s="32" t="s">
        <v>109</v>
      </c>
      <c r="B94" s="8" t="s">
        <v>24</v>
      </c>
      <c r="C94" s="85">
        <f>C70*0.06</f>
        <v>28519.754999999997</v>
      </c>
    </row>
    <row r="95" spans="1:3" ht="12.75">
      <c r="A95" s="51" t="s">
        <v>23</v>
      </c>
      <c r="B95" s="61" t="s">
        <v>90</v>
      </c>
      <c r="C95" s="124">
        <v>4482.41</v>
      </c>
    </row>
    <row r="96" spans="1:5" ht="12.75">
      <c r="A96" s="46">
        <v>23</v>
      </c>
      <c r="B96" s="17" t="s">
        <v>32</v>
      </c>
      <c r="C96" s="82">
        <f>60.74*12</f>
        <v>728.88</v>
      </c>
      <c r="D96" s="98"/>
      <c r="E96" t="s">
        <v>64</v>
      </c>
    </row>
    <row r="97" spans="1:4" ht="12.75">
      <c r="A97" s="44">
        <v>24</v>
      </c>
      <c r="B97" s="17" t="s">
        <v>65</v>
      </c>
      <c r="C97" s="82">
        <f>400.88*12</f>
        <v>4810.5599999999995</v>
      </c>
      <c r="D97" s="98"/>
    </row>
    <row r="98" spans="1:3" ht="12.75">
      <c r="A98" s="33"/>
      <c r="B98" s="13" t="s">
        <v>93</v>
      </c>
      <c r="C98" s="86">
        <f>SUM(C74:C97)</f>
        <v>578522.8850000001</v>
      </c>
    </row>
    <row r="99" spans="1:3" ht="12.75">
      <c r="A99" s="32"/>
      <c r="B99" s="8" t="s">
        <v>48</v>
      </c>
      <c r="C99" s="85">
        <f>(D70)*10%</f>
        <v>63471.403000000006</v>
      </c>
    </row>
    <row r="100" spans="1:4" ht="13.5" thickBot="1">
      <c r="A100" s="39"/>
      <c r="B100" s="34" t="s">
        <v>69</v>
      </c>
      <c r="C100" s="122">
        <f>C98+C99</f>
        <v>641994.2880000002</v>
      </c>
      <c r="D100" s="21"/>
    </row>
    <row r="101" spans="1:4" ht="12.75">
      <c r="A101" s="16"/>
      <c r="B101" s="4"/>
      <c r="C101" s="87"/>
      <c r="D101" s="21"/>
    </row>
    <row r="102" spans="1:3" ht="15">
      <c r="A102" s="47" t="s">
        <v>14</v>
      </c>
      <c r="B102" s="111"/>
      <c r="C102" s="87">
        <f>C100-C70</f>
        <v>166665.03800000018</v>
      </c>
    </row>
    <row r="103" spans="1:3" ht="15">
      <c r="A103" s="16"/>
      <c r="B103" s="11"/>
      <c r="C103" s="87"/>
    </row>
    <row r="104" ht="12.75">
      <c r="B104" s="1" t="s">
        <v>71</v>
      </c>
    </row>
    <row r="105" ht="12.75">
      <c r="B105" s="1" t="s">
        <v>28</v>
      </c>
    </row>
    <row r="106" ht="12.75">
      <c r="B106" s="1"/>
    </row>
    <row r="107" spans="1:4" ht="12.75">
      <c r="A107" s="2"/>
      <c r="B107" s="2"/>
      <c r="C107" s="2" t="s">
        <v>75</v>
      </c>
      <c r="D107" s="2"/>
    </row>
    <row r="108" spans="1:4" ht="12.75">
      <c r="A108" s="2"/>
      <c r="B108" s="2"/>
      <c r="C108" s="2" t="s">
        <v>57</v>
      </c>
      <c r="D108" s="2"/>
    </row>
    <row r="109" spans="1:4" ht="13.5" thickBot="1">
      <c r="A109" s="25"/>
      <c r="B109" s="25" t="s">
        <v>68</v>
      </c>
      <c r="C109" s="23"/>
      <c r="D109" s="53"/>
    </row>
    <row r="110" spans="1:5" ht="12.75">
      <c r="A110" s="35" t="s">
        <v>95</v>
      </c>
      <c r="B110" s="27" t="s">
        <v>50</v>
      </c>
      <c r="C110" s="31">
        <f>312934.98+C112+C113+C114</f>
        <v>317951.22</v>
      </c>
      <c r="D110" s="12"/>
      <c r="E110" s="14"/>
    </row>
    <row r="111" spans="1:5" ht="12.75">
      <c r="A111" s="36"/>
      <c r="B111" s="6" t="s">
        <v>92</v>
      </c>
      <c r="C111" s="28"/>
      <c r="D111" s="12"/>
      <c r="E111" s="14"/>
    </row>
    <row r="112" spans="1:5" ht="12.75">
      <c r="A112" s="37" t="s">
        <v>85</v>
      </c>
      <c r="B112" s="6" t="s">
        <v>70</v>
      </c>
      <c r="C112" s="28">
        <v>3116.33</v>
      </c>
      <c r="D112" s="12"/>
      <c r="E112" s="12"/>
    </row>
    <row r="113" spans="1:5" ht="12.75">
      <c r="A113" s="37" t="s">
        <v>85</v>
      </c>
      <c r="B113" s="40" t="s">
        <v>51</v>
      </c>
      <c r="C113" s="41">
        <v>68.74</v>
      </c>
      <c r="D113" s="12"/>
      <c r="E113" s="12"/>
    </row>
    <row r="114" spans="1:5" ht="13.5" thickBot="1">
      <c r="A114" s="49" t="s">
        <v>85</v>
      </c>
      <c r="B114" s="40" t="s">
        <v>104</v>
      </c>
      <c r="C114" s="41">
        <f>1143.74+687.43</f>
        <v>1831.17</v>
      </c>
      <c r="D114" s="12"/>
      <c r="E114" s="12"/>
    </row>
    <row r="115" spans="1:5" ht="12.75">
      <c r="A115" s="35" t="s">
        <v>116</v>
      </c>
      <c r="B115" s="27" t="s">
        <v>29</v>
      </c>
      <c r="C115" s="31">
        <f>17380.94+C117</f>
        <v>26634.94</v>
      </c>
      <c r="D115" s="12"/>
      <c r="E115" s="10"/>
    </row>
    <row r="116" spans="1:5" ht="12.75">
      <c r="A116" s="36"/>
      <c r="B116" s="6" t="s">
        <v>92</v>
      </c>
      <c r="C116" s="28"/>
      <c r="D116" s="12"/>
      <c r="E116" s="14"/>
    </row>
    <row r="117" spans="1:5" ht="13.5" thickBot="1">
      <c r="A117" s="38" t="s">
        <v>85</v>
      </c>
      <c r="B117" s="29" t="s">
        <v>70</v>
      </c>
      <c r="C117" s="30">
        <v>9254</v>
      </c>
      <c r="D117" s="12"/>
      <c r="E117" s="12"/>
    </row>
    <row r="120" spans="1:5" ht="12.75">
      <c r="A120" s="132"/>
      <c r="B120" s="132"/>
      <c r="C120" s="133" t="s">
        <v>84</v>
      </c>
      <c r="D120" s="134"/>
      <c r="E120" s="134"/>
    </row>
    <row r="121" spans="1:5" ht="14.25">
      <c r="A121" s="16"/>
      <c r="B121" s="104"/>
      <c r="C121" s="135" t="s">
        <v>20</v>
      </c>
      <c r="D121" s="136"/>
      <c r="E121" s="136"/>
    </row>
    <row r="122" spans="1:5" ht="14.25">
      <c r="A122" s="16"/>
      <c r="B122" s="135" t="s">
        <v>21</v>
      </c>
      <c r="C122" s="136"/>
      <c r="D122" s="136"/>
      <c r="E122" s="136"/>
    </row>
    <row r="123" spans="1:5" ht="12.75">
      <c r="A123" s="16"/>
      <c r="B123" s="24"/>
      <c r="C123" s="18"/>
      <c r="D123" s="18"/>
      <c r="E123" s="18"/>
    </row>
    <row r="124" spans="1:5" ht="18">
      <c r="A124" s="137" t="s">
        <v>88</v>
      </c>
      <c r="B124" s="130"/>
      <c r="C124" s="130"/>
      <c r="D124" s="130"/>
      <c r="E124" s="130"/>
    </row>
    <row r="125" spans="1:5" ht="15">
      <c r="A125" s="129" t="s">
        <v>120</v>
      </c>
      <c r="B125" s="131"/>
      <c r="C125" s="131"/>
      <c r="D125" s="131"/>
      <c r="E125" s="131"/>
    </row>
    <row r="126" spans="1:5" ht="15">
      <c r="A126" s="129"/>
      <c r="B126" s="130"/>
      <c r="C126" s="130"/>
      <c r="D126" s="130"/>
      <c r="E126" s="130"/>
    </row>
    <row r="127" spans="1:5" ht="15">
      <c r="A127" s="19"/>
      <c r="B127" s="20" t="s">
        <v>56</v>
      </c>
      <c r="C127" s="129"/>
      <c r="D127" s="131"/>
      <c r="E127" s="131"/>
    </row>
    <row r="128" spans="1:4" ht="15">
      <c r="A128" s="19"/>
      <c r="B128" s="20"/>
      <c r="C128" s="108"/>
      <c r="D128" s="47"/>
    </row>
    <row r="129" spans="1:5" ht="13.5" thickBot="1">
      <c r="A129" s="16" t="s">
        <v>72</v>
      </c>
      <c r="B129" s="3" t="s">
        <v>73</v>
      </c>
      <c r="C129" s="10"/>
      <c r="D129" s="14"/>
      <c r="E129" s="22"/>
    </row>
    <row r="130" spans="1:5" ht="39" thickBot="1">
      <c r="A130" s="72"/>
      <c r="B130" s="73" t="s">
        <v>77</v>
      </c>
      <c r="C130" s="74" t="s">
        <v>78</v>
      </c>
      <c r="D130" s="75" t="s">
        <v>31</v>
      </c>
      <c r="E130" s="76" t="s">
        <v>79</v>
      </c>
    </row>
    <row r="131" spans="1:5" ht="12.75">
      <c r="A131" s="52">
        <v>1</v>
      </c>
      <c r="B131" s="59" t="s">
        <v>89</v>
      </c>
      <c r="C131" s="89">
        <v>451134.61</v>
      </c>
      <c r="D131" s="90">
        <f>460104.48-2117.15</f>
        <v>457987.32999999996</v>
      </c>
      <c r="E131" s="91">
        <f>D131-C131</f>
        <v>6852.719999999972</v>
      </c>
    </row>
    <row r="132" spans="1:5" ht="12.75">
      <c r="A132" s="44">
        <v>2</v>
      </c>
      <c r="B132" s="5" t="s">
        <v>74</v>
      </c>
      <c r="C132" s="92">
        <v>16278.3</v>
      </c>
      <c r="D132" s="93">
        <v>36020.7</v>
      </c>
      <c r="E132" s="94">
        <f>D132-C132</f>
        <v>19742.399999999998</v>
      </c>
    </row>
    <row r="133" spans="1:5" ht="13.5" thickBot="1">
      <c r="A133" s="79">
        <v>3</v>
      </c>
      <c r="B133" s="48" t="s">
        <v>91</v>
      </c>
      <c r="C133" s="106">
        <f>1350+4500+2100+20000</f>
        <v>27950</v>
      </c>
      <c r="D133" s="107">
        <f>450+1350+3600+2100+20000</f>
        <v>27500</v>
      </c>
      <c r="E133" s="97">
        <f>D133-C133</f>
        <v>-450</v>
      </c>
    </row>
    <row r="134" spans="1:5" ht="13.5" thickBot="1">
      <c r="A134" s="77"/>
      <c r="B134" s="78"/>
      <c r="C134" s="105">
        <f>SUM(C131:C133)</f>
        <v>495362.91</v>
      </c>
      <c r="D134" s="105">
        <f>SUM(D131:D133)</f>
        <v>521508.02999999997</v>
      </c>
      <c r="E134" s="118">
        <f>SUM(E131:E133)</f>
        <v>26145.11999999997</v>
      </c>
    </row>
    <row r="135" spans="1:5" ht="12.75">
      <c r="A135" s="138" t="s">
        <v>66</v>
      </c>
      <c r="B135" s="139"/>
      <c r="C135" s="139"/>
      <c r="D135" s="139"/>
      <c r="E135" s="110">
        <f>E190</f>
        <v>185529.9</v>
      </c>
    </row>
    <row r="136" spans="1:5" ht="12.75">
      <c r="A136" s="26"/>
      <c r="B136" s="15"/>
      <c r="C136" s="119"/>
      <c r="D136" s="119"/>
      <c r="E136" s="119"/>
    </row>
    <row r="137" spans="1:2" ht="13.5" thickBot="1">
      <c r="A137" s="25"/>
      <c r="B137" s="3" t="s">
        <v>94</v>
      </c>
    </row>
    <row r="138" spans="1:3" ht="12.75">
      <c r="A138" s="101"/>
      <c r="B138" s="102" t="s">
        <v>76</v>
      </c>
      <c r="C138" s="103"/>
    </row>
    <row r="139" spans="1:4" ht="38.25">
      <c r="A139" s="46">
        <v>1</v>
      </c>
      <c r="B139" s="43" t="s">
        <v>13</v>
      </c>
      <c r="C139" s="88">
        <f>C170</f>
        <v>212267.14</v>
      </c>
      <c r="D139" s="21"/>
    </row>
    <row r="140" spans="1:4" ht="38.25">
      <c r="A140" s="46">
        <v>2</v>
      </c>
      <c r="B140" s="17" t="s">
        <v>22</v>
      </c>
      <c r="C140" s="83">
        <f>C175</f>
        <v>17281.67</v>
      </c>
      <c r="D140" s="98"/>
    </row>
    <row r="141" spans="1:4" ht="12.75">
      <c r="A141" s="44">
        <v>3</v>
      </c>
      <c r="B141" s="8" t="s">
        <v>86</v>
      </c>
      <c r="C141" s="100">
        <v>2235.38</v>
      </c>
      <c r="D141" s="98"/>
    </row>
    <row r="142" spans="1:4" ht="12.75">
      <c r="A142" s="46">
        <v>4</v>
      </c>
      <c r="B142" s="8" t="s">
        <v>15</v>
      </c>
      <c r="C142" s="100">
        <v>12006.5</v>
      </c>
      <c r="D142" s="98"/>
    </row>
    <row r="143" spans="1:4" ht="12.75">
      <c r="A143" s="44">
        <v>5</v>
      </c>
      <c r="B143" s="8" t="s">
        <v>37</v>
      </c>
      <c r="C143" s="84">
        <v>14945.6</v>
      </c>
      <c r="D143" s="98"/>
    </row>
    <row r="144" spans="1:4" ht="12.75">
      <c r="A144" s="44">
        <v>6</v>
      </c>
      <c r="B144" s="8" t="s">
        <v>38</v>
      </c>
      <c r="C144" s="84">
        <v>43273.52</v>
      </c>
      <c r="D144" s="98"/>
    </row>
    <row r="145" spans="1:4" ht="12.75">
      <c r="A145" s="44">
        <v>7</v>
      </c>
      <c r="B145" s="17" t="s">
        <v>96</v>
      </c>
      <c r="C145" s="88">
        <v>-145.8</v>
      </c>
      <c r="D145" s="98"/>
    </row>
    <row r="146" spans="1:5" ht="12.75">
      <c r="A146" s="44">
        <v>8</v>
      </c>
      <c r="B146" s="50" t="s">
        <v>97</v>
      </c>
      <c r="C146" s="88">
        <v>850.3</v>
      </c>
      <c r="D146" s="98"/>
      <c r="E146" t="s">
        <v>87</v>
      </c>
    </row>
    <row r="147" spans="1:4" ht="12.75">
      <c r="A147" s="44">
        <v>9</v>
      </c>
      <c r="B147" s="50" t="s">
        <v>139</v>
      </c>
      <c r="C147" s="88">
        <v>54000</v>
      </c>
      <c r="D147" s="98"/>
    </row>
    <row r="148" spans="1:4" ht="12.75">
      <c r="A148" s="44">
        <v>10</v>
      </c>
      <c r="B148" s="17" t="s">
        <v>127</v>
      </c>
      <c r="C148" s="88">
        <v>1809.95</v>
      </c>
      <c r="D148" s="98"/>
    </row>
    <row r="149" spans="1:4" ht="12.75">
      <c r="A149" s="44">
        <v>11</v>
      </c>
      <c r="B149" s="50" t="s">
        <v>125</v>
      </c>
      <c r="C149" s="88">
        <v>4500</v>
      </c>
      <c r="D149" s="98"/>
    </row>
    <row r="150" spans="1:4" ht="25.5">
      <c r="A150" s="44">
        <v>12</v>
      </c>
      <c r="B150" s="17" t="s">
        <v>118</v>
      </c>
      <c r="C150" s="88">
        <v>112</v>
      </c>
      <c r="D150" s="98"/>
    </row>
    <row r="151" spans="1:4" ht="25.5">
      <c r="A151" s="44">
        <v>13</v>
      </c>
      <c r="B151" s="17" t="s">
        <v>44</v>
      </c>
      <c r="C151" s="88">
        <v>500</v>
      </c>
      <c r="D151" s="98"/>
    </row>
    <row r="152" spans="1:4" ht="12.75">
      <c r="A152" s="44">
        <v>14</v>
      </c>
      <c r="B152" s="17" t="s">
        <v>12</v>
      </c>
      <c r="C152" s="88">
        <f>384.86+541.2</f>
        <v>926.0600000000001</v>
      </c>
      <c r="D152" s="98"/>
    </row>
    <row r="153" spans="1:5" ht="25.5">
      <c r="A153" s="44">
        <v>15</v>
      </c>
      <c r="B153" s="17" t="s">
        <v>128</v>
      </c>
      <c r="C153" s="88">
        <v>181.72</v>
      </c>
      <c r="D153" s="98"/>
      <c r="E153" t="s">
        <v>87</v>
      </c>
    </row>
    <row r="154" spans="1:5" ht="12.75">
      <c r="A154" s="44">
        <v>16</v>
      </c>
      <c r="B154" s="17" t="s">
        <v>129</v>
      </c>
      <c r="C154" s="88">
        <v>19001.96</v>
      </c>
      <c r="D154" s="98"/>
      <c r="E154" t="s">
        <v>87</v>
      </c>
    </row>
    <row r="155" spans="1:3" ht="12.75">
      <c r="A155" s="44">
        <v>17</v>
      </c>
      <c r="B155" s="8" t="s">
        <v>24</v>
      </c>
      <c r="C155" s="85">
        <f>C134*0.06</f>
        <v>29721.774599999997</v>
      </c>
    </row>
    <row r="156" spans="1:3" ht="12.75">
      <c r="A156" s="44">
        <v>18</v>
      </c>
      <c r="B156" s="61" t="s">
        <v>90</v>
      </c>
      <c r="C156" s="124">
        <v>4749.4</v>
      </c>
    </row>
    <row r="157" spans="1:3" ht="12.75">
      <c r="A157" s="33"/>
      <c r="B157" s="13" t="s">
        <v>93</v>
      </c>
      <c r="C157" s="120">
        <f>SUM(C139:C156)</f>
        <v>418217.1746</v>
      </c>
    </row>
    <row r="158" spans="1:3" ht="12.75">
      <c r="A158" s="32"/>
      <c r="B158" s="8" t="s">
        <v>48</v>
      </c>
      <c r="C158" s="100">
        <f>D134*10%</f>
        <v>52150.803</v>
      </c>
    </row>
    <row r="159" spans="1:4" ht="13.5" thickBot="1">
      <c r="A159" s="39"/>
      <c r="B159" s="34" t="s">
        <v>69</v>
      </c>
      <c r="C159" s="109">
        <f>C157+C158</f>
        <v>470367.97760000004</v>
      </c>
      <c r="D159" s="21"/>
    </row>
    <row r="160" spans="1:4" ht="12.75">
      <c r="A160" s="16"/>
      <c r="B160" s="4"/>
      <c r="C160" s="99"/>
      <c r="D160" s="21"/>
    </row>
    <row r="161" spans="1:3" ht="15">
      <c r="A161" s="47" t="s">
        <v>14</v>
      </c>
      <c r="B161" s="111"/>
      <c r="C161" s="99">
        <v>166665.04</v>
      </c>
    </row>
    <row r="162" spans="1:3" ht="15">
      <c r="A162" s="47" t="s">
        <v>119</v>
      </c>
      <c r="B162" s="111"/>
      <c r="C162" s="87">
        <f>-(C134-C159+(-C161))</f>
        <v>141670.10760000008</v>
      </c>
    </row>
    <row r="163" spans="1:3" ht="15">
      <c r="A163" s="16"/>
      <c r="B163" s="11"/>
      <c r="C163" s="87"/>
    </row>
    <row r="164" ht="12.75">
      <c r="B164" s="1" t="s">
        <v>71</v>
      </c>
    </row>
    <row r="165" ht="12.75">
      <c r="B165" s="1" t="s">
        <v>28</v>
      </c>
    </row>
    <row r="166" ht="12.75">
      <c r="B166" s="1"/>
    </row>
    <row r="167" spans="1:4" ht="12.75">
      <c r="A167" s="2"/>
      <c r="B167" s="2"/>
      <c r="C167" s="2" t="s">
        <v>75</v>
      </c>
      <c r="D167" s="2"/>
    </row>
    <row r="168" spans="1:4" ht="12.75">
      <c r="A168" s="2"/>
      <c r="B168" s="2"/>
      <c r="C168" s="2" t="s">
        <v>57</v>
      </c>
      <c r="D168" s="2"/>
    </row>
    <row r="169" spans="1:4" ht="13.5" thickBot="1">
      <c r="A169" s="25"/>
      <c r="B169" s="25" t="s">
        <v>68</v>
      </c>
      <c r="C169" s="23"/>
      <c r="D169" s="53"/>
    </row>
    <row r="170" spans="1:5" ht="12.75">
      <c r="A170" s="35" t="s">
        <v>95</v>
      </c>
      <c r="B170" s="27" t="s">
        <v>50</v>
      </c>
      <c r="C170" s="31">
        <f>C172+C173+C174+195488.82</f>
        <v>212267.14</v>
      </c>
      <c r="D170" s="12"/>
      <c r="E170" s="14"/>
    </row>
    <row r="171" spans="1:5" ht="12.75">
      <c r="A171" s="36"/>
      <c r="B171" s="6" t="s">
        <v>92</v>
      </c>
      <c r="C171" s="28"/>
      <c r="D171" s="12"/>
      <c r="E171" s="14"/>
    </row>
    <row r="172" spans="1:5" ht="12.75">
      <c r="A172" s="37" t="s">
        <v>85</v>
      </c>
      <c r="B172" s="6" t="s">
        <v>70</v>
      </c>
      <c r="C172" s="28">
        <f>1954.65+320+1029.34</f>
        <v>3303.99</v>
      </c>
      <c r="D172" s="12"/>
      <c r="E172" s="12"/>
    </row>
    <row r="173" spans="1:5" ht="12.75">
      <c r="A173" s="37" t="s">
        <v>85</v>
      </c>
      <c r="B173" s="40" t="s">
        <v>124</v>
      </c>
      <c r="C173" s="41">
        <v>2043.19</v>
      </c>
      <c r="D173" s="12"/>
      <c r="E173" s="12"/>
    </row>
    <row r="174" spans="1:5" ht="13.5" thickBot="1">
      <c r="A174" s="49" t="s">
        <v>85</v>
      </c>
      <c r="B174" s="40" t="s">
        <v>126</v>
      </c>
      <c r="C174" s="41">
        <v>11431.14</v>
      </c>
      <c r="D174" s="12"/>
      <c r="E174" s="12"/>
    </row>
    <row r="175" spans="1:5" ht="12.75">
      <c r="A175" s="35" t="s">
        <v>116</v>
      </c>
      <c r="B175" s="27" t="s">
        <v>29</v>
      </c>
      <c r="C175" s="31">
        <f>C177+12419.52</f>
        <v>17281.67</v>
      </c>
      <c r="D175" s="12"/>
      <c r="E175" s="10"/>
    </row>
    <row r="176" spans="1:5" ht="12.75">
      <c r="A176" s="36"/>
      <c r="B176" s="6" t="s">
        <v>92</v>
      </c>
      <c r="C176" s="28"/>
      <c r="D176" s="12"/>
      <c r="E176" s="14"/>
    </row>
    <row r="177" spans="1:5" ht="13.5" thickBot="1">
      <c r="A177" s="38" t="s">
        <v>85</v>
      </c>
      <c r="B177" s="29" t="s">
        <v>70</v>
      </c>
      <c r="C177" s="30">
        <f>3888+974.15</f>
        <v>4862.15</v>
      </c>
      <c r="D177" s="12"/>
      <c r="E177" s="12"/>
    </row>
    <row r="178" ht="13.5" thickBot="1"/>
    <row r="179" spans="2:5" ht="24.75" thickBot="1">
      <c r="B179" s="60"/>
      <c r="C179" s="65" t="s">
        <v>78</v>
      </c>
      <c r="D179" s="71" t="s">
        <v>31</v>
      </c>
      <c r="E179" s="56" t="s">
        <v>30</v>
      </c>
    </row>
    <row r="180" spans="2:5" ht="13.5" thickBot="1">
      <c r="B180" s="140" t="s">
        <v>136</v>
      </c>
      <c r="C180" s="141"/>
      <c r="D180" s="141"/>
      <c r="E180" s="142"/>
    </row>
    <row r="181" spans="2:5" ht="12.75">
      <c r="B181" s="58" t="s">
        <v>89</v>
      </c>
      <c r="C181" s="89">
        <v>468329.25</v>
      </c>
      <c r="D181" s="90">
        <f>626182.16+1431.87</f>
        <v>627614.03</v>
      </c>
      <c r="E181" s="91">
        <f>D181-C181</f>
        <v>159284.78000000003</v>
      </c>
    </row>
    <row r="182" spans="2:5" ht="13.5" thickBot="1">
      <c r="B182" s="63" t="s">
        <v>91</v>
      </c>
      <c r="C182" s="106">
        <f>3150+3850</f>
        <v>7000</v>
      </c>
      <c r="D182" s="107">
        <f>3600+3500</f>
        <v>7100</v>
      </c>
      <c r="E182" s="97">
        <f>D182-C182</f>
        <v>100</v>
      </c>
    </row>
    <row r="183" spans="2:5" ht="13.5" thickBot="1">
      <c r="B183" s="55"/>
      <c r="C183" s="81">
        <f>SUM(C181:C182)</f>
        <v>475329.25</v>
      </c>
      <c r="D183" s="81">
        <f>SUM(D181:D182)</f>
        <v>634714.03</v>
      </c>
      <c r="E183" s="57">
        <f>SUM(E181:E182)</f>
        <v>159384.78000000003</v>
      </c>
    </row>
    <row r="184" spans="2:5" ht="13.5" thickBot="1">
      <c r="B184" s="140" t="s">
        <v>137</v>
      </c>
      <c r="C184" s="141"/>
      <c r="D184" s="141"/>
      <c r="E184" s="142"/>
    </row>
    <row r="185" spans="2:5" ht="12.75">
      <c r="B185" s="58" t="s">
        <v>89</v>
      </c>
      <c r="C185" s="89">
        <v>451134.61</v>
      </c>
      <c r="D185" s="90">
        <f>460104.48-2117.15</f>
        <v>457987.32999999996</v>
      </c>
      <c r="E185" s="91">
        <f>D185-C185</f>
        <v>6852.719999999972</v>
      </c>
    </row>
    <row r="186" spans="2:5" ht="12.75">
      <c r="B186" s="54" t="s">
        <v>74</v>
      </c>
      <c r="C186" s="92">
        <v>16278.3</v>
      </c>
      <c r="D186" s="93">
        <v>36020.7</v>
      </c>
      <c r="E186" s="94">
        <f>D186-C186</f>
        <v>19742.399999999998</v>
      </c>
    </row>
    <row r="187" spans="2:5" ht="13.5" thickBot="1">
      <c r="B187" s="63" t="s">
        <v>91</v>
      </c>
      <c r="C187" s="106">
        <f>1350+4500+2100+20000</f>
        <v>27950</v>
      </c>
      <c r="D187" s="107">
        <f>450+1350+3600+2100+20000</f>
        <v>27500</v>
      </c>
      <c r="E187" s="97">
        <f>D187-C187</f>
        <v>-450</v>
      </c>
    </row>
    <row r="188" spans="2:5" ht="13.5" thickBot="1">
      <c r="B188" s="55"/>
      <c r="C188" s="80">
        <f>SUM(C185:C187)</f>
        <v>495362.91</v>
      </c>
      <c r="D188" s="80">
        <f>SUM(D185:D187)</f>
        <v>521508.02999999997</v>
      </c>
      <c r="E188" s="57">
        <f>SUM(E185:E187)</f>
        <v>26145.11999999997</v>
      </c>
    </row>
    <row r="189" spans="2:5" ht="13.5" thickBot="1">
      <c r="B189" s="143" t="s">
        <v>80</v>
      </c>
      <c r="C189" s="144"/>
      <c r="D189" s="144"/>
      <c r="E189" s="145"/>
    </row>
    <row r="190" spans="2:5" ht="13.5" thickBot="1">
      <c r="B190" s="62"/>
      <c r="C190" s="64">
        <f>C183+C188</f>
        <v>970692.1599999999</v>
      </c>
      <c r="D190" s="64">
        <f>D183+D188</f>
        <v>1156222.06</v>
      </c>
      <c r="E190" s="64">
        <f>E183+E188</f>
        <v>185529.9</v>
      </c>
    </row>
  </sheetData>
  <sheetProtection/>
  <mergeCells count="30">
    <mergeCell ref="A15:D15"/>
    <mergeCell ref="A5:E5"/>
    <mergeCell ref="A6:E6"/>
    <mergeCell ref="A7:E7"/>
    <mergeCell ref="C8:E8"/>
    <mergeCell ref="A1:B1"/>
    <mergeCell ref="C1:E1"/>
    <mergeCell ref="C2:E2"/>
    <mergeCell ref="B3:E3"/>
    <mergeCell ref="A71:D71"/>
    <mergeCell ref="A61:E61"/>
    <mergeCell ref="A62:E62"/>
    <mergeCell ref="A63:E63"/>
    <mergeCell ref="C64:E64"/>
    <mergeCell ref="A57:B57"/>
    <mergeCell ref="C57:E57"/>
    <mergeCell ref="C58:E58"/>
    <mergeCell ref="B59:E59"/>
    <mergeCell ref="A120:B120"/>
    <mergeCell ref="C120:E120"/>
    <mergeCell ref="C121:E121"/>
    <mergeCell ref="B122:E122"/>
    <mergeCell ref="A124:E124"/>
    <mergeCell ref="A125:E125"/>
    <mergeCell ref="A126:E126"/>
    <mergeCell ref="C127:E127"/>
    <mergeCell ref="A135:D135"/>
    <mergeCell ref="B180:E180"/>
    <mergeCell ref="B184:E184"/>
    <mergeCell ref="B189:E189"/>
  </mergeCells>
  <printOptions/>
  <pageMargins left="0.3937007874015748" right="0.1968503937007874" top="0.3937007874015748" bottom="0.3937007874015748" header="0.5118110236220472" footer="0.5118110236220472"/>
  <pageSetup fitToHeight="1" fitToWidth="1" orientation="portrait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7"/>
  <sheetViews>
    <sheetView zoomScalePageLayoutView="0" workbookViewId="0" topLeftCell="A231">
      <selection activeCell="E251" sqref="E251"/>
    </sheetView>
  </sheetViews>
  <sheetFormatPr defaultColWidth="9.00390625" defaultRowHeight="12.75"/>
  <cols>
    <col min="1" max="1" width="3.625" style="0" customWidth="1"/>
    <col min="2" max="2" width="55.625" style="0" customWidth="1"/>
    <col min="3" max="3" width="13.625" style="0" customWidth="1"/>
    <col min="4" max="4" width="13.125" style="0" customWidth="1"/>
    <col min="5" max="5" width="13.625" style="0" customWidth="1"/>
  </cols>
  <sheetData>
    <row r="1" spans="1:5" ht="12.75">
      <c r="A1" s="132"/>
      <c r="B1" s="132"/>
      <c r="C1" s="133" t="s">
        <v>84</v>
      </c>
      <c r="D1" s="134"/>
      <c r="E1" s="134"/>
    </row>
    <row r="2" spans="1:5" ht="14.25">
      <c r="A2" s="16"/>
      <c r="B2" s="104"/>
      <c r="C2" s="135" t="s">
        <v>20</v>
      </c>
      <c r="D2" s="136"/>
      <c r="E2" s="136"/>
    </row>
    <row r="3" spans="1:5" ht="14.25">
      <c r="A3" s="16"/>
      <c r="B3" s="135" t="s">
        <v>21</v>
      </c>
      <c r="C3" s="136"/>
      <c r="D3" s="136"/>
      <c r="E3" s="136"/>
    </row>
    <row r="4" spans="1:5" ht="12.75">
      <c r="A4" s="16"/>
      <c r="B4" s="24"/>
      <c r="C4" s="18"/>
      <c r="D4" s="18"/>
      <c r="E4" s="18"/>
    </row>
    <row r="5" spans="1:5" ht="18">
      <c r="A5" s="137" t="s">
        <v>33</v>
      </c>
      <c r="B5" s="130"/>
      <c r="C5" s="130"/>
      <c r="D5" s="130"/>
      <c r="E5" s="130"/>
    </row>
    <row r="6" spans="1:5" ht="15">
      <c r="A6" s="129" t="s">
        <v>34</v>
      </c>
      <c r="B6" s="131"/>
      <c r="C6" s="131"/>
      <c r="D6" s="131"/>
      <c r="E6" s="131"/>
    </row>
    <row r="7" spans="1:5" ht="15">
      <c r="A7" s="129"/>
      <c r="B7" s="130"/>
      <c r="C7" s="130"/>
      <c r="D7" s="130"/>
      <c r="E7" s="130"/>
    </row>
    <row r="8" spans="1:5" ht="15">
      <c r="A8" s="19"/>
      <c r="B8" s="20" t="s">
        <v>58</v>
      </c>
      <c r="C8" s="129"/>
      <c r="D8" s="131"/>
      <c r="E8" s="131"/>
    </row>
    <row r="9" spans="1:4" ht="15">
      <c r="A9" s="19"/>
      <c r="B9" s="20" t="s">
        <v>81</v>
      </c>
      <c r="C9" s="108">
        <v>2737.1</v>
      </c>
      <c r="D9" s="47" t="s">
        <v>82</v>
      </c>
    </row>
    <row r="10" spans="1:5" ht="13.5" thickBot="1">
      <c r="A10" s="16" t="s">
        <v>72</v>
      </c>
      <c r="B10" s="3" t="s">
        <v>73</v>
      </c>
      <c r="C10" s="10"/>
      <c r="D10" s="14"/>
      <c r="E10" s="22"/>
    </row>
    <row r="11" spans="1:5" ht="39" thickBot="1">
      <c r="A11" s="72"/>
      <c r="B11" s="73" t="s">
        <v>77</v>
      </c>
      <c r="C11" s="74" t="s">
        <v>78</v>
      </c>
      <c r="D11" s="75" t="s">
        <v>31</v>
      </c>
      <c r="E11" s="76" t="s">
        <v>79</v>
      </c>
    </row>
    <row r="12" spans="1:5" ht="12.75">
      <c r="A12" s="52">
        <v>1</v>
      </c>
      <c r="B12" s="59" t="s">
        <v>89</v>
      </c>
      <c r="C12" s="89">
        <v>297043.57</v>
      </c>
      <c r="D12" s="90">
        <v>414807.1</v>
      </c>
      <c r="E12" s="91">
        <f>D12-C12</f>
        <v>117763.52999999997</v>
      </c>
    </row>
    <row r="13" spans="1:5" ht="12.75">
      <c r="A13" s="45">
        <v>2</v>
      </c>
      <c r="B13" s="5" t="s">
        <v>91</v>
      </c>
      <c r="C13" s="113">
        <f>2700+2800</f>
        <v>5500</v>
      </c>
      <c r="D13" s="113">
        <f>2700+2800</f>
        <v>5500</v>
      </c>
      <c r="E13" s="94">
        <f>D13-C13</f>
        <v>0</v>
      </c>
    </row>
    <row r="14" spans="1:5" ht="13.5" thickBot="1">
      <c r="A14" s="79">
        <v>3</v>
      </c>
      <c r="B14" s="48" t="s">
        <v>26</v>
      </c>
      <c r="C14" s="106">
        <f>17839.49+17839.49+16657.34</f>
        <v>52336.32000000001</v>
      </c>
      <c r="D14" s="107">
        <v>52274.96</v>
      </c>
      <c r="E14" s="97">
        <f>D14-C14</f>
        <v>-61.36000000000786</v>
      </c>
    </row>
    <row r="15" spans="1:5" ht="13.5" thickBot="1">
      <c r="A15" s="66"/>
      <c r="B15" s="67"/>
      <c r="C15" s="95">
        <f>SUM(C12:C14)</f>
        <v>354879.89</v>
      </c>
      <c r="D15" s="95">
        <f>SUM(D12:D14)</f>
        <v>472582.06</v>
      </c>
      <c r="E15" s="95">
        <f>SUM(E12:E14)</f>
        <v>117702.16999999995</v>
      </c>
    </row>
    <row r="16" spans="1:5" ht="12.75">
      <c r="A16" s="138" t="s">
        <v>67</v>
      </c>
      <c r="B16" s="131"/>
      <c r="C16" s="131"/>
      <c r="D16" s="131"/>
      <c r="E16" s="99">
        <v>277925.25</v>
      </c>
    </row>
    <row r="17" spans="1:2" ht="13.5" thickBot="1">
      <c r="A17" s="25"/>
      <c r="B17" s="3" t="s">
        <v>94</v>
      </c>
    </row>
    <row r="18" spans="1:3" ht="12.75">
      <c r="A18" s="101"/>
      <c r="B18" s="102" t="s">
        <v>76</v>
      </c>
      <c r="C18" s="103"/>
    </row>
    <row r="19" spans="1:4" ht="38.25">
      <c r="A19" s="46">
        <v>1</v>
      </c>
      <c r="B19" s="43" t="s">
        <v>36</v>
      </c>
      <c r="C19" s="88">
        <f>C50</f>
        <v>223971.28999999998</v>
      </c>
      <c r="D19" s="21"/>
    </row>
    <row r="20" spans="1:4" ht="38.25">
      <c r="A20" s="46">
        <v>2</v>
      </c>
      <c r="B20" s="17" t="s">
        <v>22</v>
      </c>
      <c r="C20" s="83">
        <f>C55</f>
        <v>23090.77</v>
      </c>
      <c r="D20" s="98"/>
    </row>
    <row r="21" spans="1:4" ht="12.75">
      <c r="A21" s="44">
        <v>3</v>
      </c>
      <c r="B21" s="8" t="s">
        <v>86</v>
      </c>
      <c r="C21" s="85">
        <v>7087.49</v>
      </c>
      <c r="D21" s="98"/>
    </row>
    <row r="22" spans="1:4" ht="12.75">
      <c r="A22" s="46">
        <v>4</v>
      </c>
      <c r="B22" s="8" t="s">
        <v>98</v>
      </c>
      <c r="C22" s="85">
        <v>9177.19</v>
      </c>
      <c r="D22" s="98"/>
    </row>
    <row r="23" spans="1:4" ht="12.75">
      <c r="A23" s="44">
        <v>5</v>
      </c>
      <c r="B23" s="8" t="s">
        <v>37</v>
      </c>
      <c r="C23" s="84">
        <v>9466.46</v>
      </c>
      <c r="D23" s="98"/>
    </row>
    <row r="24" spans="1:4" ht="12.75">
      <c r="A24" s="44">
        <v>6</v>
      </c>
      <c r="B24" s="8" t="s">
        <v>38</v>
      </c>
      <c r="C24" s="84">
        <v>41300.27</v>
      </c>
      <c r="D24" s="98"/>
    </row>
    <row r="25" spans="1:4" ht="12.75">
      <c r="A25" s="44">
        <v>7</v>
      </c>
      <c r="B25" s="17" t="s">
        <v>96</v>
      </c>
      <c r="C25" s="82">
        <v>129.84</v>
      </c>
      <c r="D25" s="98"/>
    </row>
    <row r="26" spans="1:5" ht="25.5">
      <c r="A26" s="44">
        <v>8</v>
      </c>
      <c r="B26" s="17" t="s">
        <v>97</v>
      </c>
      <c r="C26" s="82">
        <v>454.48</v>
      </c>
      <c r="D26" s="98"/>
      <c r="E26" t="s">
        <v>87</v>
      </c>
    </row>
    <row r="27" spans="1:4" ht="25.5">
      <c r="A27" s="46">
        <v>9</v>
      </c>
      <c r="B27" s="17" t="s">
        <v>39</v>
      </c>
      <c r="C27" s="82">
        <v>51000</v>
      </c>
      <c r="D27" s="98"/>
    </row>
    <row r="28" spans="1:4" ht="12.75">
      <c r="A28" s="46">
        <v>10</v>
      </c>
      <c r="B28" s="17" t="s">
        <v>40</v>
      </c>
      <c r="C28" s="82">
        <v>4500</v>
      </c>
      <c r="D28" s="98"/>
    </row>
    <row r="29" spans="1:4" ht="25.5">
      <c r="A29" s="46">
        <v>11</v>
      </c>
      <c r="B29" s="17" t="s">
        <v>41</v>
      </c>
      <c r="C29" s="82">
        <v>1200</v>
      </c>
      <c r="D29" s="98"/>
    </row>
    <row r="30" spans="1:4" ht="25.5">
      <c r="A30" s="46">
        <v>12</v>
      </c>
      <c r="B30" s="17" t="s">
        <v>42</v>
      </c>
      <c r="C30" s="82">
        <v>2100.14</v>
      </c>
      <c r="D30" s="98"/>
    </row>
    <row r="31" spans="1:4" ht="25.5">
      <c r="A31" s="46">
        <v>13</v>
      </c>
      <c r="B31" s="17" t="s">
        <v>10</v>
      </c>
      <c r="C31" s="82">
        <v>973.91</v>
      </c>
      <c r="D31" s="98"/>
    </row>
    <row r="32" spans="1:4" ht="12.75">
      <c r="A32" s="46">
        <v>14</v>
      </c>
      <c r="B32" s="17" t="s">
        <v>43</v>
      </c>
      <c r="C32" s="82">
        <v>4388.31</v>
      </c>
      <c r="D32" s="98"/>
    </row>
    <row r="33" spans="1:4" ht="25.5">
      <c r="A33" s="46">
        <v>15</v>
      </c>
      <c r="B33" s="17" t="s">
        <v>44</v>
      </c>
      <c r="C33" s="82">
        <v>875</v>
      </c>
      <c r="D33" s="98"/>
    </row>
    <row r="34" spans="1:5" ht="12.75">
      <c r="A34" s="44">
        <v>16</v>
      </c>
      <c r="B34" s="17" t="s">
        <v>45</v>
      </c>
      <c r="C34" s="82">
        <v>686</v>
      </c>
      <c r="D34" s="98"/>
      <c r="E34" t="s">
        <v>87</v>
      </c>
    </row>
    <row r="35" spans="1:5" ht="12.75">
      <c r="A35" s="44">
        <v>17</v>
      </c>
      <c r="B35" s="17" t="s">
        <v>46</v>
      </c>
      <c r="C35" s="82">
        <v>306</v>
      </c>
      <c r="D35" s="98"/>
      <c r="E35" t="s">
        <v>87</v>
      </c>
    </row>
    <row r="36" spans="1:4" ht="12.75">
      <c r="A36" s="44">
        <v>18</v>
      </c>
      <c r="B36" s="17" t="s">
        <v>107</v>
      </c>
      <c r="C36" s="82">
        <v>13368.2</v>
      </c>
      <c r="D36" s="98"/>
    </row>
    <row r="37" spans="1:4" ht="25.5">
      <c r="A37" s="46">
        <v>19</v>
      </c>
      <c r="B37" s="17" t="s">
        <v>47</v>
      </c>
      <c r="C37" s="82">
        <v>500.01</v>
      </c>
      <c r="D37" s="98"/>
    </row>
    <row r="38" spans="1:3" ht="12.75">
      <c r="A38" s="33"/>
      <c r="B38" s="13" t="s">
        <v>93</v>
      </c>
      <c r="C38" s="86">
        <f>SUM(C19:C37)</f>
        <v>394575.36</v>
      </c>
    </row>
    <row r="39" spans="1:3" ht="12.75">
      <c r="A39" s="32"/>
      <c r="B39" s="8" t="s">
        <v>48</v>
      </c>
      <c r="C39" s="85">
        <f>(D15)*10%</f>
        <v>47258.206000000006</v>
      </c>
    </row>
    <row r="40" spans="1:4" ht="12.75">
      <c r="A40" s="7"/>
      <c r="B40" s="9" t="s">
        <v>69</v>
      </c>
      <c r="C40" s="115">
        <f>C38+C39</f>
        <v>441833.566</v>
      </c>
      <c r="D40" s="21"/>
    </row>
    <row r="41" spans="1:4" ht="12.75">
      <c r="A41" s="16"/>
      <c r="B41" s="4"/>
      <c r="C41" s="87"/>
      <c r="D41" s="21"/>
    </row>
    <row r="42" spans="1:3" ht="15">
      <c r="A42" s="47" t="s">
        <v>27</v>
      </c>
      <c r="B42" s="111"/>
      <c r="C42" s="87">
        <f>C40-C15</f>
        <v>86953.67599999998</v>
      </c>
    </row>
    <row r="43" spans="1:3" ht="15">
      <c r="A43" s="16"/>
      <c r="B43" s="11"/>
      <c r="C43" s="87"/>
    </row>
    <row r="44" ht="12.75">
      <c r="B44" s="1" t="s">
        <v>71</v>
      </c>
    </row>
    <row r="45" ht="12.75">
      <c r="B45" s="1" t="s">
        <v>28</v>
      </c>
    </row>
    <row r="46" ht="12.75">
      <c r="B46" s="1"/>
    </row>
    <row r="47" spans="1:4" ht="12.75">
      <c r="A47" s="2"/>
      <c r="B47" s="2"/>
      <c r="C47" s="2" t="s">
        <v>75</v>
      </c>
      <c r="D47" s="2"/>
    </row>
    <row r="48" spans="1:4" ht="12.75">
      <c r="A48" s="2"/>
      <c r="B48" s="2"/>
      <c r="C48" s="2" t="s">
        <v>59</v>
      </c>
      <c r="D48" s="2"/>
    </row>
    <row r="49" spans="1:5" ht="13.5" thickBot="1">
      <c r="A49" s="25"/>
      <c r="B49" s="25" t="s">
        <v>68</v>
      </c>
      <c r="C49" s="23" t="s">
        <v>83</v>
      </c>
      <c r="D49" s="53">
        <f>C9</f>
        <v>2737.1</v>
      </c>
      <c r="E49" t="s">
        <v>82</v>
      </c>
    </row>
    <row r="50" spans="1:5" ht="12.75">
      <c r="A50" s="35" t="s">
        <v>95</v>
      </c>
      <c r="B50" s="27" t="s">
        <v>50</v>
      </c>
      <c r="C50" s="31">
        <f>220597.02+C52+C53+C54</f>
        <v>223971.28999999998</v>
      </c>
      <c r="D50" s="12"/>
      <c r="E50" s="14"/>
    </row>
    <row r="51" spans="1:5" ht="12.75">
      <c r="A51" s="36"/>
      <c r="B51" s="6" t="s">
        <v>92</v>
      </c>
      <c r="C51" s="28"/>
      <c r="D51" s="12"/>
      <c r="E51" s="14"/>
    </row>
    <row r="52" spans="1:5" ht="12.75">
      <c r="A52" s="37" t="s">
        <v>85</v>
      </c>
      <c r="B52" s="6" t="s">
        <v>70</v>
      </c>
      <c r="C52" s="116">
        <f>1008+566.68</f>
        <v>1574.6799999999998</v>
      </c>
      <c r="D52" s="12"/>
      <c r="E52" s="12"/>
    </row>
    <row r="53" spans="1:5" ht="12.75">
      <c r="A53" s="37" t="s">
        <v>85</v>
      </c>
      <c r="B53" s="40" t="s">
        <v>51</v>
      </c>
      <c r="C53" s="116">
        <v>70.46</v>
      </c>
      <c r="D53" s="12"/>
      <c r="E53" s="12"/>
    </row>
    <row r="54" spans="1:5" ht="13.5" thickBot="1">
      <c r="A54" s="49" t="s">
        <v>85</v>
      </c>
      <c r="B54" s="40" t="s">
        <v>11</v>
      </c>
      <c r="C54" s="41">
        <f>704.65+1024.48</f>
        <v>1729.13</v>
      </c>
      <c r="D54" s="12"/>
      <c r="E54" s="12"/>
    </row>
    <row r="55" spans="1:5" ht="12.75">
      <c r="A55" s="35" t="s">
        <v>116</v>
      </c>
      <c r="B55" s="27" t="s">
        <v>29</v>
      </c>
      <c r="C55" s="31">
        <f>11965.77+C57</f>
        <v>23090.77</v>
      </c>
      <c r="D55" s="12"/>
      <c r="E55" s="10"/>
    </row>
    <row r="56" spans="1:5" ht="12.75">
      <c r="A56" s="36"/>
      <c r="B56" s="6" t="s">
        <v>92</v>
      </c>
      <c r="C56" s="28"/>
      <c r="D56" s="12"/>
      <c r="E56" s="14"/>
    </row>
    <row r="57" spans="1:5" ht="13.5" thickBot="1">
      <c r="A57" s="38" t="s">
        <v>85</v>
      </c>
      <c r="B57" s="29" t="s">
        <v>70</v>
      </c>
      <c r="C57" s="30">
        <f>4896+4160+2069</f>
        <v>11125</v>
      </c>
      <c r="D57" s="12"/>
      <c r="E57" s="12"/>
    </row>
    <row r="59" spans="1:5" ht="12.75">
      <c r="A59" s="132"/>
      <c r="B59" s="132"/>
      <c r="C59" s="133" t="s">
        <v>84</v>
      </c>
      <c r="D59" s="134"/>
      <c r="E59" s="134"/>
    </row>
    <row r="60" spans="1:5" ht="14.25">
      <c r="A60" s="16"/>
      <c r="B60" s="104"/>
      <c r="C60" s="135" t="s">
        <v>20</v>
      </c>
      <c r="D60" s="136"/>
      <c r="E60" s="136"/>
    </row>
    <row r="61" spans="1:5" ht="19.5" customHeight="1">
      <c r="A61" s="16"/>
      <c r="B61" s="135" t="s">
        <v>21</v>
      </c>
      <c r="C61" s="136"/>
      <c r="D61" s="136"/>
      <c r="E61" s="136"/>
    </row>
    <row r="62" spans="1:5" ht="12.75">
      <c r="A62" s="16"/>
      <c r="B62" s="24"/>
      <c r="C62" s="18"/>
      <c r="D62" s="18"/>
      <c r="E62" s="18"/>
    </row>
    <row r="63" spans="1:5" ht="18">
      <c r="A63" s="137" t="s">
        <v>88</v>
      </c>
      <c r="B63" s="130"/>
      <c r="C63" s="130"/>
      <c r="D63" s="130"/>
      <c r="E63" s="130"/>
    </row>
    <row r="64" spans="1:5" ht="15">
      <c r="A64" s="129" t="s">
        <v>103</v>
      </c>
      <c r="B64" s="131"/>
      <c r="C64" s="131"/>
      <c r="D64" s="131"/>
      <c r="E64" s="131"/>
    </row>
    <row r="65" spans="1:5" ht="15">
      <c r="A65" s="129"/>
      <c r="B65" s="130"/>
      <c r="C65" s="130"/>
      <c r="D65" s="130"/>
      <c r="E65" s="130"/>
    </row>
    <row r="66" spans="1:5" ht="15">
      <c r="A66" s="19"/>
      <c r="B66" s="20" t="s">
        <v>58</v>
      </c>
      <c r="C66" s="129"/>
      <c r="D66" s="131"/>
      <c r="E66" s="131"/>
    </row>
    <row r="67" spans="1:4" ht="15">
      <c r="A67" s="19"/>
      <c r="B67" s="20"/>
      <c r="C67" s="108"/>
      <c r="D67" s="47"/>
    </row>
    <row r="68" spans="1:5" ht="13.5" thickBot="1">
      <c r="A68" s="16" t="s">
        <v>72</v>
      </c>
      <c r="B68" s="3" t="s">
        <v>73</v>
      </c>
      <c r="C68" s="10"/>
      <c r="D68" s="14"/>
      <c r="E68" s="22"/>
    </row>
    <row r="69" spans="1:5" ht="39" thickBot="1">
      <c r="A69" s="72"/>
      <c r="B69" s="73" t="s">
        <v>77</v>
      </c>
      <c r="C69" s="74" t="s">
        <v>78</v>
      </c>
      <c r="D69" s="75" t="s">
        <v>31</v>
      </c>
      <c r="E69" s="76" t="s">
        <v>79</v>
      </c>
    </row>
    <row r="70" spans="1:5" ht="12.75">
      <c r="A70" s="52">
        <v>1</v>
      </c>
      <c r="B70" s="59" t="s">
        <v>89</v>
      </c>
      <c r="C70" s="89">
        <v>408964.13</v>
      </c>
      <c r="D70" s="90">
        <f>562765.97-3516.68</f>
        <v>559249.2899999999</v>
      </c>
      <c r="E70" s="91">
        <f>D70-C70</f>
        <v>150285.15999999992</v>
      </c>
    </row>
    <row r="71" spans="1:5" ht="12.75">
      <c r="A71" s="45">
        <v>2</v>
      </c>
      <c r="B71" s="5" t="s">
        <v>91</v>
      </c>
      <c r="C71" s="113">
        <f>3150</f>
        <v>3150</v>
      </c>
      <c r="D71" s="113">
        <f>3600</f>
        <v>3600</v>
      </c>
      <c r="E71" s="94">
        <f>D71-C71</f>
        <v>450</v>
      </c>
    </row>
    <row r="72" spans="1:5" ht="13.5" thickBot="1">
      <c r="A72" s="79">
        <v>3</v>
      </c>
      <c r="B72" s="48" t="s">
        <v>26</v>
      </c>
      <c r="C72" s="106">
        <f>22619.49+22619.49+25010.36</f>
        <v>70249.34</v>
      </c>
      <c r="D72" s="107">
        <f>20968.97+20968.97+23539.61</f>
        <v>65477.55</v>
      </c>
      <c r="E72" s="97">
        <f>D72-C72</f>
        <v>-4771.789999999994</v>
      </c>
    </row>
    <row r="73" spans="1:5" ht="13.5" thickBot="1">
      <c r="A73" s="66"/>
      <c r="B73" s="67"/>
      <c r="C73" s="95">
        <f>SUM(C70:C72)</f>
        <v>482363.47</v>
      </c>
      <c r="D73" s="95">
        <f>SUM(D70:D72)</f>
        <v>628326.84</v>
      </c>
      <c r="E73" s="95">
        <f>SUM(E70:E72)</f>
        <v>145963.36999999994</v>
      </c>
    </row>
    <row r="74" spans="1:5" ht="12.75">
      <c r="A74" s="138"/>
      <c r="B74" s="131"/>
      <c r="C74" s="131"/>
      <c r="D74" s="131"/>
      <c r="E74" s="99"/>
    </row>
    <row r="75" spans="1:2" ht="13.5" thickBot="1">
      <c r="A75" s="25"/>
      <c r="B75" s="3" t="s">
        <v>94</v>
      </c>
    </row>
    <row r="76" spans="1:3" ht="12.75">
      <c r="A76" s="101"/>
      <c r="B76" s="102" t="s">
        <v>76</v>
      </c>
      <c r="C76" s="103"/>
    </row>
    <row r="77" spans="1:4" ht="38.25">
      <c r="A77" s="46">
        <v>1</v>
      </c>
      <c r="B77" s="43" t="s">
        <v>13</v>
      </c>
      <c r="C77" s="88">
        <f>C114</f>
        <v>300139.03</v>
      </c>
      <c r="D77" s="21"/>
    </row>
    <row r="78" spans="1:4" ht="38.25">
      <c r="A78" s="46">
        <v>2</v>
      </c>
      <c r="B78" s="17" t="s">
        <v>22</v>
      </c>
      <c r="C78" s="83">
        <f>C119</f>
        <v>28505.94</v>
      </c>
      <c r="D78" s="98"/>
    </row>
    <row r="79" spans="1:4" ht="12.75">
      <c r="A79" s="44">
        <v>3</v>
      </c>
      <c r="B79" s="8" t="s">
        <v>86</v>
      </c>
      <c r="C79" s="85">
        <f>7087.49+2884.09</f>
        <v>9971.58</v>
      </c>
      <c r="D79" s="98"/>
    </row>
    <row r="80" spans="1:4" ht="12.75">
      <c r="A80" s="46">
        <v>4</v>
      </c>
      <c r="B80" s="8" t="s">
        <v>15</v>
      </c>
      <c r="C80" s="85">
        <v>11328.11</v>
      </c>
      <c r="D80" s="98"/>
    </row>
    <row r="81" spans="1:4" ht="12.75">
      <c r="A81" s="44">
        <v>5</v>
      </c>
      <c r="B81" s="8" t="s">
        <v>37</v>
      </c>
      <c r="C81" s="84">
        <v>12015.69</v>
      </c>
      <c r="D81" s="98"/>
    </row>
    <row r="82" spans="1:4" ht="12.75">
      <c r="A82" s="44">
        <v>6</v>
      </c>
      <c r="B82" s="8" t="s">
        <v>38</v>
      </c>
      <c r="C82" s="84">
        <v>57736.09</v>
      </c>
      <c r="D82" s="98"/>
    </row>
    <row r="83" spans="1:4" ht="12.75">
      <c r="A83" s="44">
        <v>7</v>
      </c>
      <c r="B83" s="17" t="s">
        <v>96</v>
      </c>
      <c r="C83" s="82">
        <v>194.76</v>
      </c>
      <c r="D83" s="98"/>
    </row>
    <row r="84" spans="1:5" ht="12.75">
      <c r="A84" s="44">
        <v>8</v>
      </c>
      <c r="B84" s="50" t="s">
        <v>97</v>
      </c>
      <c r="C84" s="82">
        <v>681.72</v>
      </c>
      <c r="D84" s="98"/>
      <c r="E84" t="s">
        <v>87</v>
      </c>
    </row>
    <row r="85" spans="1:4" ht="12.75">
      <c r="A85" s="44">
        <v>7</v>
      </c>
      <c r="B85" s="17" t="s">
        <v>17</v>
      </c>
      <c r="C85" s="88">
        <v>3660.73</v>
      </c>
      <c r="D85" s="98"/>
    </row>
    <row r="86" spans="1:4" ht="12.75">
      <c r="A86" s="46">
        <v>9</v>
      </c>
      <c r="B86" s="50" t="s">
        <v>39</v>
      </c>
      <c r="C86" s="82">
        <v>63000</v>
      </c>
      <c r="D86" s="98"/>
    </row>
    <row r="87" spans="1:4" ht="12.75">
      <c r="A87" s="46">
        <v>10</v>
      </c>
      <c r="B87" s="17" t="s">
        <v>40</v>
      </c>
      <c r="C87" s="82">
        <v>4500</v>
      </c>
      <c r="D87" s="98"/>
    </row>
    <row r="88" spans="1:4" ht="12.75">
      <c r="A88" s="46">
        <v>11</v>
      </c>
      <c r="B88" s="50" t="s">
        <v>41</v>
      </c>
      <c r="C88" s="82">
        <v>1200</v>
      </c>
      <c r="D88" s="98"/>
    </row>
    <row r="89" spans="1:4" ht="25.5">
      <c r="A89" s="46">
        <v>12</v>
      </c>
      <c r="B89" s="17" t="s">
        <v>42</v>
      </c>
      <c r="C89" s="82">
        <v>2100.14</v>
      </c>
      <c r="D89" s="98"/>
    </row>
    <row r="90" spans="1:4" ht="25.5">
      <c r="A90" s="46">
        <v>13</v>
      </c>
      <c r="B90" s="17" t="s">
        <v>10</v>
      </c>
      <c r="C90" s="82">
        <v>973.91</v>
      </c>
      <c r="D90" s="98"/>
    </row>
    <row r="91" spans="1:4" ht="12.75">
      <c r="A91" s="46">
        <v>14</v>
      </c>
      <c r="B91" s="17" t="s">
        <v>0</v>
      </c>
      <c r="C91" s="82">
        <v>4388.31</v>
      </c>
      <c r="D91" s="98"/>
    </row>
    <row r="92" spans="1:4" ht="25.5">
      <c r="A92" s="46">
        <v>15</v>
      </c>
      <c r="B92" s="17" t="s">
        <v>44</v>
      </c>
      <c r="C92" s="82">
        <v>875</v>
      </c>
      <c r="D92" s="98"/>
    </row>
    <row r="93" spans="1:5" ht="12.75">
      <c r="A93" s="44">
        <v>16</v>
      </c>
      <c r="B93" s="17" t="s">
        <v>45</v>
      </c>
      <c r="C93" s="82">
        <v>686</v>
      </c>
      <c r="D93" s="98"/>
      <c r="E93" t="s">
        <v>87</v>
      </c>
    </row>
    <row r="94" spans="1:5" ht="12.75">
      <c r="A94" s="44">
        <v>17</v>
      </c>
      <c r="B94" s="17" t="s">
        <v>46</v>
      </c>
      <c r="C94" s="82">
        <v>306</v>
      </c>
      <c r="D94" s="98"/>
      <c r="E94" t="s">
        <v>87</v>
      </c>
    </row>
    <row r="95" spans="1:4" ht="12.75">
      <c r="A95" s="44">
        <v>18</v>
      </c>
      <c r="B95" s="17" t="s">
        <v>107</v>
      </c>
      <c r="C95" s="123">
        <f>13368.2+3993.33</f>
        <v>17361.53</v>
      </c>
      <c r="D95" s="98"/>
    </row>
    <row r="96" spans="1:4" ht="12.75">
      <c r="A96" s="46">
        <v>19</v>
      </c>
      <c r="B96" s="17" t="s">
        <v>12</v>
      </c>
      <c r="C96" s="88">
        <f>8156.85+2791.18</f>
        <v>10948.03</v>
      </c>
      <c r="D96" s="98"/>
    </row>
    <row r="97" spans="1:3" ht="12.75">
      <c r="A97" s="32" t="s">
        <v>108</v>
      </c>
      <c r="B97" s="8" t="s">
        <v>24</v>
      </c>
      <c r="C97" s="85">
        <f>C73*0.06</f>
        <v>28941.808199999996</v>
      </c>
    </row>
    <row r="98" spans="1:3" ht="12.75">
      <c r="A98" s="51" t="s">
        <v>109</v>
      </c>
      <c r="B98" s="61" t="s">
        <v>90</v>
      </c>
      <c r="C98" s="124">
        <v>4594.63</v>
      </c>
    </row>
    <row r="99" spans="1:4" ht="25.5">
      <c r="A99" s="46">
        <v>22</v>
      </c>
      <c r="B99" s="17" t="s">
        <v>47</v>
      </c>
      <c r="C99" s="82">
        <v>500.01</v>
      </c>
      <c r="D99" s="98"/>
    </row>
    <row r="100" spans="1:5" ht="12.75">
      <c r="A100" s="46">
        <v>23</v>
      </c>
      <c r="B100" s="17" t="s">
        <v>32</v>
      </c>
      <c r="C100" s="82">
        <f>81.16*12</f>
        <v>973.92</v>
      </c>
      <c r="D100" s="98"/>
      <c r="E100" t="s">
        <v>64</v>
      </c>
    </row>
    <row r="101" spans="1:4" ht="12.75">
      <c r="A101" s="44">
        <v>24</v>
      </c>
      <c r="B101" s="17" t="s">
        <v>65</v>
      </c>
      <c r="C101" s="82">
        <f>535.65*12</f>
        <v>6427.799999999999</v>
      </c>
      <c r="D101" s="98"/>
    </row>
    <row r="102" spans="1:3" ht="12.75">
      <c r="A102" s="33"/>
      <c r="B102" s="13" t="s">
        <v>93</v>
      </c>
      <c r="C102" s="86">
        <f>SUM(C77:C101)</f>
        <v>572010.7382000001</v>
      </c>
    </row>
    <row r="103" spans="1:3" ht="12.75">
      <c r="A103" s="32"/>
      <c r="B103" s="8" t="s">
        <v>48</v>
      </c>
      <c r="C103" s="85">
        <f>(D73)*10%</f>
        <v>62832.684</v>
      </c>
    </row>
    <row r="104" spans="1:4" ht="13.5" thickBot="1">
      <c r="A104" s="39"/>
      <c r="B104" s="34" t="s">
        <v>69</v>
      </c>
      <c r="C104" s="122">
        <f>C102+C103</f>
        <v>634843.4222000001</v>
      </c>
      <c r="D104" s="21"/>
    </row>
    <row r="105" spans="1:4" ht="12.75">
      <c r="A105" s="16"/>
      <c r="B105" s="4"/>
      <c r="C105" s="87"/>
      <c r="D105" s="21"/>
    </row>
    <row r="106" spans="1:3" ht="15">
      <c r="A106" s="47" t="s">
        <v>14</v>
      </c>
      <c r="B106" s="111"/>
      <c r="C106" s="87">
        <f>C104-C73</f>
        <v>152479.95220000017</v>
      </c>
    </row>
    <row r="107" spans="1:3" ht="15">
      <c r="A107" s="16"/>
      <c r="B107" s="11"/>
      <c r="C107" s="87"/>
    </row>
    <row r="108" ht="12.75">
      <c r="B108" s="1" t="s">
        <v>71</v>
      </c>
    </row>
    <row r="109" ht="12.75">
      <c r="B109" s="1" t="s">
        <v>28</v>
      </c>
    </row>
    <row r="110" ht="12.75">
      <c r="B110" s="1"/>
    </row>
    <row r="111" spans="1:4" ht="12.75">
      <c r="A111" s="2"/>
      <c r="B111" s="2"/>
      <c r="C111" s="2" t="s">
        <v>75</v>
      </c>
      <c r="D111" s="2"/>
    </row>
    <row r="112" spans="1:4" ht="12.75">
      <c r="A112" s="2"/>
      <c r="B112" s="2"/>
      <c r="C112" s="2" t="s">
        <v>59</v>
      </c>
      <c r="D112" s="2"/>
    </row>
    <row r="113" spans="1:4" ht="13.5" thickBot="1">
      <c r="A113" s="25"/>
      <c r="B113" s="25" t="s">
        <v>68</v>
      </c>
      <c r="C113" s="23"/>
      <c r="D113" s="53"/>
    </row>
    <row r="114" spans="1:5" ht="12.75">
      <c r="A114" s="35" t="s">
        <v>95</v>
      </c>
      <c r="B114" s="27" t="s">
        <v>50</v>
      </c>
      <c r="C114" s="31">
        <f>296664.76+C116+C117+C118</f>
        <v>300139.03</v>
      </c>
      <c r="D114" s="12"/>
      <c r="E114" s="14"/>
    </row>
    <row r="115" spans="1:5" ht="12.75">
      <c r="A115" s="36"/>
      <c r="B115" s="6" t="s">
        <v>92</v>
      </c>
      <c r="C115" s="28"/>
      <c r="D115" s="12"/>
      <c r="E115" s="14"/>
    </row>
    <row r="116" spans="1:5" ht="12.75">
      <c r="A116" s="37" t="s">
        <v>85</v>
      </c>
      <c r="B116" s="6" t="s">
        <v>70</v>
      </c>
      <c r="C116" s="121">
        <v>1674.68</v>
      </c>
      <c r="D116" s="12"/>
      <c r="E116" s="12"/>
    </row>
    <row r="117" spans="1:5" ht="12.75">
      <c r="A117" s="37" t="s">
        <v>85</v>
      </c>
      <c r="B117" s="40" t="s">
        <v>51</v>
      </c>
      <c r="C117" s="121">
        <v>70.46</v>
      </c>
      <c r="D117" s="12"/>
      <c r="E117" s="12"/>
    </row>
    <row r="118" spans="1:5" ht="13.5" thickBot="1">
      <c r="A118" s="49" t="s">
        <v>85</v>
      </c>
      <c r="B118" s="40" t="s">
        <v>104</v>
      </c>
      <c r="C118" s="41">
        <f>704.65+1024.48</f>
        <v>1729.13</v>
      </c>
      <c r="D118" s="12"/>
      <c r="E118" s="12"/>
    </row>
    <row r="119" spans="1:5" ht="12.75">
      <c r="A119" s="35" t="s">
        <v>116</v>
      </c>
      <c r="B119" s="27" t="s">
        <v>29</v>
      </c>
      <c r="C119" s="31">
        <f>17380.94+C121</f>
        <v>28505.94</v>
      </c>
      <c r="D119" s="12"/>
      <c r="E119" s="10"/>
    </row>
    <row r="120" spans="1:5" ht="12.75">
      <c r="A120" s="36"/>
      <c r="B120" s="6" t="s">
        <v>92</v>
      </c>
      <c r="C120" s="28"/>
      <c r="D120" s="12"/>
      <c r="E120" s="14"/>
    </row>
    <row r="121" spans="1:5" ht="13.5" thickBot="1">
      <c r="A121" s="38" t="s">
        <v>85</v>
      </c>
      <c r="B121" s="29" t="s">
        <v>70</v>
      </c>
      <c r="C121" s="30">
        <f>4896+4160+2069</f>
        <v>11125</v>
      </c>
      <c r="D121" s="12"/>
      <c r="E121" s="12"/>
    </row>
    <row r="123" spans="1:5" ht="12.75">
      <c r="A123" s="132"/>
      <c r="B123" s="132"/>
      <c r="C123" s="133" t="s">
        <v>84</v>
      </c>
      <c r="D123" s="134"/>
      <c r="E123" s="134"/>
    </row>
    <row r="124" spans="1:5" ht="14.25">
      <c r="A124" s="16"/>
      <c r="B124" s="104"/>
      <c r="C124" s="135" t="s">
        <v>20</v>
      </c>
      <c r="D124" s="136"/>
      <c r="E124" s="136"/>
    </row>
    <row r="125" spans="1:5" ht="18.75" customHeight="1">
      <c r="A125" s="16"/>
      <c r="B125" s="135" t="s">
        <v>21</v>
      </c>
      <c r="C125" s="136"/>
      <c r="D125" s="136"/>
      <c r="E125" s="136"/>
    </row>
    <row r="126" spans="1:5" ht="12.75">
      <c r="A126" s="16"/>
      <c r="B126" s="24"/>
      <c r="C126" s="18"/>
      <c r="D126" s="18"/>
      <c r="E126" s="18"/>
    </row>
    <row r="127" spans="1:5" ht="18">
      <c r="A127" s="137" t="s">
        <v>88</v>
      </c>
      <c r="B127" s="130"/>
      <c r="C127" s="130"/>
      <c r="D127" s="130"/>
      <c r="E127" s="130"/>
    </row>
    <row r="128" spans="1:5" ht="15">
      <c r="A128" s="129" t="s">
        <v>19</v>
      </c>
      <c r="B128" s="131"/>
      <c r="C128" s="131"/>
      <c r="D128" s="131"/>
      <c r="E128" s="131"/>
    </row>
    <row r="129" spans="1:5" ht="15">
      <c r="A129" s="129"/>
      <c r="B129" s="130"/>
      <c r="C129" s="130"/>
      <c r="D129" s="130"/>
      <c r="E129" s="130"/>
    </row>
    <row r="130" spans="1:5" ht="15">
      <c r="A130" s="19"/>
      <c r="B130" s="20" t="s">
        <v>58</v>
      </c>
      <c r="C130" s="129"/>
      <c r="D130" s="131"/>
      <c r="E130" s="131"/>
    </row>
    <row r="131" spans="1:4" ht="15">
      <c r="A131" s="19"/>
      <c r="B131" s="20"/>
      <c r="C131" s="108"/>
      <c r="D131" s="47"/>
    </row>
    <row r="132" spans="1:5" ht="13.5" thickBot="1">
      <c r="A132" s="16" t="s">
        <v>72</v>
      </c>
      <c r="B132" s="3" t="s">
        <v>73</v>
      </c>
      <c r="C132" s="10"/>
      <c r="D132" s="14"/>
      <c r="E132" s="22"/>
    </row>
    <row r="133" spans="1:5" ht="39" thickBot="1">
      <c r="A133" s="72"/>
      <c r="B133" s="73" t="s">
        <v>77</v>
      </c>
      <c r="C133" s="74" t="s">
        <v>78</v>
      </c>
      <c r="D133" s="75" t="s">
        <v>31</v>
      </c>
      <c r="E133" s="76" t="s">
        <v>79</v>
      </c>
    </row>
    <row r="134" spans="1:5" ht="12.75">
      <c r="A134" s="52">
        <v>1</v>
      </c>
      <c r="B134" s="59" t="s">
        <v>89</v>
      </c>
      <c r="C134" s="89">
        <f>480451.38+5205.07</f>
        <v>485656.45</v>
      </c>
      <c r="D134" s="90">
        <f>661607.61-96.68</f>
        <v>661510.9299999999</v>
      </c>
      <c r="E134" s="91">
        <f>D134-C134</f>
        <v>175854.47999999992</v>
      </c>
    </row>
    <row r="135" spans="1:5" ht="12.75">
      <c r="A135" s="45">
        <v>2</v>
      </c>
      <c r="B135" s="5" t="s">
        <v>91</v>
      </c>
      <c r="C135" s="113">
        <f>4500+4200</f>
        <v>8700</v>
      </c>
      <c r="D135" s="113">
        <f>4950+4550</f>
        <v>9500</v>
      </c>
      <c r="E135" s="94">
        <f>D135-C135</f>
        <v>800</v>
      </c>
    </row>
    <row r="136" spans="1:5" ht="13.5" thickBot="1">
      <c r="A136" s="79">
        <v>3</v>
      </c>
      <c r="B136" s="48" t="s">
        <v>99</v>
      </c>
      <c r="C136" s="106">
        <f>24219.49+24219.49+25010.36</f>
        <v>73449.34</v>
      </c>
      <c r="D136" s="107">
        <f>34785+25933.36+25933.36+28077.93</f>
        <v>114729.65</v>
      </c>
      <c r="E136" s="97">
        <f>D136-C136</f>
        <v>41280.31</v>
      </c>
    </row>
    <row r="137" spans="1:5" ht="13.5" thickBot="1">
      <c r="A137" s="66"/>
      <c r="B137" s="67"/>
      <c r="C137" s="95">
        <f>SUM(C134:C136)</f>
        <v>567805.79</v>
      </c>
      <c r="D137" s="95">
        <f>SUM(D134:D136)</f>
        <v>785740.58</v>
      </c>
      <c r="E137" s="95">
        <f>SUM(E134:E136)</f>
        <v>217934.78999999992</v>
      </c>
    </row>
    <row r="138" spans="1:5" ht="12.75">
      <c r="A138" s="138"/>
      <c r="B138" s="131"/>
      <c r="C138" s="131"/>
      <c r="D138" s="131"/>
      <c r="E138" s="99"/>
    </row>
    <row r="139" spans="1:2" ht="13.5" thickBot="1">
      <c r="A139" s="25"/>
      <c r="B139" s="3" t="s">
        <v>94</v>
      </c>
    </row>
    <row r="140" spans="1:3" ht="12.75">
      <c r="A140" s="101"/>
      <c r="B140" s="102" t="s">
        <v>76</v>
      </c>
      <c r="C140" s="103"/>
    </row>
    <row r="141" spans="1:4" ht="51.75" customHeight="1">
      <c r="A141" s="46">
        <v>1</v>
      </c>
      <c r="B141" s="43" t="s">
        <v>9</v>
      </c>
      <c r="C141" s="88">
        <f>C176</f>
        <v>355306.25</v>
      </c>
      <c r="D141" s="21"/>
    </row>
    <row r="142" spans="1:4" ht="38.25">
      <c r="A142" s="46">
        <v>2</v>
      </c>
      <c r="B142" s="17" t="s">
        <v>22</v>
      </c>
      <c r="C142" s="83">
        <f>C180</f>
        <v>30201.39</v>
      </c>
      <c r="D142" s="98"/>
    </row>
    <row r="143" spans="1:4" ht="12.75">
      <c r="A143" s="44">
        <v>3</v>
      </c>
      <c r="B143" s="8" t="s">
        <v>86</v>
      </c>
      <c r="C143" s="85">
        <v>11810.25</v>
      </c>
      <c r="D143" s="98"/>
    </row>
    <row r="144" spans="1:4" ht="12.75">
      <c r="A144" s="46">
        <v>4</v>
      </c>
      <c r="B144" s="8" t="s">
        <v>15</v>
      </c>
      <c r="C144" s="85">
        <v>14554.49</v>
      </c>
      <c r="D144" s="98"/>
    </row>
    <row r="145" spans="1:4" ht="12.75">
      <c r="A145" s="44">
        <v>5</v>
      </c>
      <c r="B145" s="8" t="s">
        <v>16</v>
      </c>
      <c r="C145" s="84">
        <v>17804.2</v>
      </c>
      <c r="D145" s="98"/>
    </row>
    <row r="146" spans="1:4" ht="51">
      <c r="A146" s="46">
        <v>6</v>
      </c>
      <c r="B146" s="42" t="s">
        <v>7</v>
      </c>
      <c r="C146" s="84">
        <f>132479.93+5200+2634.2</f>
        <v>140314.13</v>
      </c>
      <c r="D146" s="98"/>
    </row>
    <row r="147" spans="1:5" ht="12.75">
      <c r="A147" s="44">
        <v>7</v>
      </c>
      <c r="B147" s="50" t="s">
        <v>97</v>
      </c>
      <c r="C147" s="82">
        <v>1136.23</v>
      </c>
      <c r="D147" s="98"/>
      <c r="E147" t="s">
        <v>87</v>
      </c>
    </row>
    <row r="148" spans="1:4" ht="12.75">
      <c r="A148" s="46">
        <v>8</v>
      </c>
      <c r="B148" s="50" t="s">
        <v>39</v>
      </c>
      <c r="C148" s="82">
        <v>81000</v>
      </c>
      <c r="D148" s="98"/>
    </row>
    <row r="149" spans="1:4" ht="12.75">
      <c r="A149" s="46">
        <v>9</v>
      </c>
      <c r="B149" s="17" t="s">
        <v>40</v>
      </c>
      <c r="C149" s="82">
        <v>1200</v>
      </c>
      <c r="D149" s="98"/>
    </row>
    <row r="150" spans="1:4" ht="12.75">
      <c r="A150" s="46">
        <v>10</v>
      </c>
      <c r="B150" s="50" t="s">
        <v>41</v>
      </c>
      <c r="C150" s="82">
        <v>4500</v>
      </c>
      <c r="D150" s="98"/>
    </row>
    <row r="151" spans="1:4" ht="25.5">
      <c r="A151" s="46">
        <v>11</v>
      </c>
      <c r="B151" s="17" t="s">
        <v>42</v>
      </c>
      <c r="C151" s="82">
        <v>2110.14</v>
      </c>
      <c r="D151" s="98"/>
    </row>
    <row r="152" spans="1:4" ht="12.75">
      <c r="A152" s="46">
        <v>12</v>
      </c>
      <c r="B152" s="17" t="s">
        <v>0</v>
      </c>
      <c r="C152" s="82">
        <v>4388.31</v>
      </c>
      <c r="D152" s="98"/>
    </row>
    <row r="153" spans="1:4" ht="25.5">
      <c r="A153" s="46">
        <v>13</v>
      </c>
      <c r="B153" s="17" t="s">
        <v>44</v>
      </c>
      <c r="C153" s="82">
        <v>875</v>
      </c>
      <c r="D153" s="98"/>
    </row>
    <row r="154" spans="1:5" ht="12.75">
      <c r="A154" s="44">
        <v>14</v>
      </c>
      <c r="B154" s="17" t="s">
        <v>45</v>
      </c>
      <c r="C154" s="82">
        <v>686</v>
      </c>
      <c r="D154" s="98"/>
      <c r="E154" t="s">
        <v>87</v>
      </c>
    </row>
    <row r="155" spans="1:5" ht="12.75">
      <c r="A155" s="44">
        <v>15</v>
      </c>
      <c r="B155" s="17" t="s">
        <v>46</v>
      </c>
      <c r="C155" s="82">
        <v>306</v>
      </c>
      <c r="D155" s="98"/>
      <c r="E155" t="s">
        <v>87</v>
      </c>
    </row>
    <row r="156" spans="1:4" ht="12.75">
      <c r="A156" s="44">
        <v>16</v>
      </c>
      <c r="B156" s="17" t="s">
        <v>107</v>
      </c>
      <c r="C156" s="123">
        <v>38950.06</v>
      </c>
      <c r="D156" s="98"/>
    </row>
    <row r="157" spans="1:4" ht="12.75">
      <c r="A157" s="46">
        <v>17</v>
      </c>
      <c r="B157" s="17" t="s">
        <v>12</v>
      </c>
      <c r="C157" s="88">
        <v>15911.43</v>
      </c>
      <c r="D157" s="98"/>
    </row>
    <row r="158" spans="1:3" ht="12.75">
      <c r="A158" s="32" t="s">
        <v>8</v>
      </c>
      <c r="B158" s="8" t="s">
        <v>24</v>
      </c>
      <c r="C158" s="85">
        <f>C137*0.06</f>
        <v>34068.3474</v>
      </c>
    </row>
    <row r="159" spans="1:3" ht="12.75">
      <c r="A159" s="51" t="s">
        <v>101</v>
      </c>
      <c r="B159" s="61" t="s">
        <v>90</v>
      </c>
      <c r="C159" s="124">
        <v>5400.51</v>
      </c>
    </row>
    <row r="160" spans="1:4" ht="25.5">
      <c r="A160" s="46">
        <v>20</v>
      </c>
      <c r="B160" s="17" t="s">
        <v>47</v>
      </c>
      <c r="C160" s="82">
        <v>500</v>
      </c>
      <c r="D160" s="98"/>
    </row>
    <row r="161" spans="1:5" ht="12.75">
      <c r="A161" s="46">
        <v>21</v>
      </c>
      <c r="B161" s="17" t="s">
        <v>32</v>
      </c>
      <c r="C161" s="82">
        <v>1137.5</v>
      </c>
      <c r="D161" s="98"/>
      <c r="E161" t="s">
        <v>64</v>
      </c>
    </row>
    <row r="162" spans="1:4" ht="12.75">
      <c r="A162" s="44">
        <v>22</v>
      </c>
      <c r="B162" s="17" t="s">
        <v>65</v>
      </c>
      <c r="C162" s="82">
        <v>7507.5</v>
      </c>
      <c r="D162" s="98"/>
    </row>
    <row r="163" spans="1:4" ht="25.5">
      <c r="A163" s="46">
        <v>23</v>
      </c>
      <c r="B163" s="17" t="s">
        <v>100</v>
      </c>
      <c r="C163" s="82">
        <v>181.72</v>
      </c>
      <c r="D163" s="98"/>
    </row>
    <row r="164" spans="1:3" ht="12.75">
      <c r="A164" s="33"/>
      <c r="B164" s="13" t="s">
        <v>93</v>
      </c>
      <c r="C164" s="86">
        <f>SUM(C141:C163)</f>
        <v>769849.4574</v>
      </c>
    </row>
    <row r="165" spans="1:3" ht="12.75">
      <c r="A165" s="32"/>
      <c r="B165" s="8" t="s">
        <v>48</v>
      </c>
      <c r="C165" s="85">
        <f>(D137)*10%</f>
        <v>78574.058</v>
      </c>
    </row>
    <row r="166" spans="1:4" ht="13.5" thickBot="1">
      <c r="A166" s="39"/>
      <c r="B166" s="34" t="s">
        <v>69</v>
      </c>
      <c r="C166" s="122">
        <f>C164+C165</f>
        <v>848423.5153999999</v>
      </c>
      <c r="D166" s="21"/>
    </row>
    <row r="167" spans="1:4" ht="12.75">
      <c r="A167" s="16"/>
      <c r="B167" s="4"/>
      <c r="C167" s="87"/>
      <c r="D167" s="21"/>
    </row>
    <row r="168" spans="1:3" ht="15">
      <c r="A168" s="47" t="s">
        <v>102</v>
      </c>
      <c r="B168" s="111"/>
      <c r="C168" s="87">
        <f>C166-C137</f>
        <v>280617.7253999999</v>
      </c>
    </row>
    <row r="169" spans="1:3" ht="15">
      <c r="A169" s="16"/>
      <c r="B169" s="11"/>
      <c r="C169" s="87"/>
    </row>
    <row r="170" ht="12.75">
      <c r="B170" s="1" t="s">
        <v>71</v>
      </c>
    </row>
    <row r="171" ht="12.75">
      <c r="B171" s="1" t="s">
        <v>28</v>
      </c>
    </row>
    <row r="172" ht="12.75">
      <c r="B172" s="1"/>
    </row>
    <row r="173" spans="1:4" ht="12.75">
      <c r="A173" s="2"/>
      <c r="B173" s="2"/>
      <c r="C173" s="2" t="s">
        <v>75</v>
      </c>
      <c r="D173" s="2"/>
    </row>
    <row r="174" spans="1:4" ht="12.75">
      <c r="A174" s="2"/>
      <c r="B174" s="2"/>
      <c r="C174" s="2" t="s">
        <v>59</v>
      </c>
      <c r="D174" s="2"/>
    </row>
    <row r="175" spans="1:4" ht="13.5" thickBot="1">
      <c r="A175" s="25"/>
      <c r="B175" s="25" t="s">
        <v>68</v>
      </c>
      <c r="C175" s="23"/>
      <c r="D175" s="53"/>
    </row>
    <row r="176" spans="1:5" ht="12.75">
      <c r="A176" s="35" t="s">
        <v>95</v>
      </c>
      <c r="B176" s="27" t="s">
        <v>50</v>
      </c>
      <c r="C176" s="31">
        <f>351022.35+C178+C179</f>
        <v>355306.25</v>
      </c>
      <c r="D176" s="12"/>
      <c r="E176" s="14"/>
    </row>
    <row r="177" spans="1:5" ht="12.75">
      <c r="A177" s="36"/>
      <c r="B177" s="6" t="s">
        <v>92</v>
      </c>
      <c r="C177" s="28"/>
      <c r="D177" s="12"/>
      <c r="E177" s="14"/>
    </row>
    <row r="178" spans="1:5" ht="12.75">
      <c r="A178" s="37" t="s">
        <v>85</v>
      </c>
      <c r="B178" s="6" t="s">
        <v>70</v>
      </c>
      <c r="C178" s="121">
        <v>4213.44</v>
      </c>
      <c r="D178" s="12"/>
      <c r="E178" s="12"/>
    </row>
    <row r="179" spans="1:5" ht="13.5" thickBot="1">
      <c r="A179" s="37" t="s">
        <v>85</v>
      </c>
      <c r="B179" s="40" t="s">
        <v>51</v>
      </c>
      <c r="C179" s="121">
        <v>70.46</v>
      </c>
      <c r="D179" s="12"/>
      <c r="E179" s="12"/>
    </row>
    <row r="180" spans="1:5" ht="12.75">
      <c r="A180" s="35" t="s">
        <v>116</v>
      </c>
      <c r="B180" s="27" t="s">
        <v>29</v>
      </c>
      <c r="C180" s="31">
        <f>19076.39+C182</f>
        <v>30201.39</v>
      </c>
      <c r="D180" s="12"/>
      <c r="E180" s="10"/>
    </row>
    <row r="181" spans="1:5" ht="12.75">
      <c r="A181" s="36"/>
      <c r="B181" s="6" t="s">
        <v>92</v>
      </c>
      <c r="C181" s="28"/>
      <c r="D181" s="12"/>
      <c r="E181" s="14"/>
    </row>
    <row r="182" spans="1:5" ht="13.5" thickBot="1">
      <c r="A182" s="38" t="s">
        <v>85</v>
      </c>
      <c r="B182" s="29" t="s">
        <v>70</v>
      </c>
      <c r="C182" s="30">
        <f>4896+4160+2069</f>
        <v>11125</v>
      </c>
      <c r="D182" s="12"/>
      <c r="E182" s="12"/>
    </row>
    <row r="184" spans="1:5" ht="12.75">
      <c r="A184" s="132"/>
      <c r="B184" s="132"/>
      <c r="C184" s="133" t="s">
        <v>84</v>
      </c>
      <c r="D184" s="134"/>
      <c r="E184" s="134"/>
    </row>
    <row r="185" spans="1:5" ht="14.25">
      <c r="A185" s="16"/>
      <c r="B185" s="104"/>
      <c r="C185" s="135" t="s">
        <v>20</v>
      </c>
      <c r="D185" s="136"/>
      <c r="E185" s="136"/>
    </row>
    <row r="186" spans="1:5" ht="14.25">
      <c r="A186" s="16"/>
      <c r="B186" s="135" t="s">
        <v>21</v>
      </c>
      <c r="C186" s="136"/>
      <c r="D186" s="136"/>
      <c r="E186" s="136"/>
    </row>
    <row r="187" spans="1:5" ht="12.75">
      <c r="A187" s="16"/>
      <c r="B187" s="24"/>
      <c r="C187" s="18"/>
      <c r="D187" s="18"/>
      <c r="E187" s="18"/>
    </row>
    <row r="188" spans="1:5" ht="18">
      <c r="A188" s="137" t="s">
        <v>88</v>
      </c>
      <c r="B188" s="130"/>
      <c r="C188" s="130"/>
      <c r="D188" s="130"/>
      <c r="E188" s="130"/>
    </row>
    <row r="189" spans="1:5" ht="15">
      <c r="A189" s="129" t="s">
        <v>120</v>
      </c>
      <c r="B189" s="131"/>
      <c r="C189" s="131"/>
      <c r="D189" s="131"/>
      <c r="E189" s="131"/>
    </row>
    <row r="190" spans="1:5" ht="15">
      <c r="A190" s="129"/>
      <c r="B190" s="130"/>
      <c r="C190" s="130"/>
      <c r="D190" s="130"/>
      <c r="E190" s="130"/>
    </row>
    <row r="191" spans="1:5" ht="15">
      <c r="A191" s="19"/>
      <c r="B191" s="20" t="s">
        <v>58</v>
      </c>
      <c r="C191" s="129"/>
      <c r="D191" s="131"/>
      <c r="E191" s="131"/>
    </row>
    <row r="192" spans="1:4" ht="15">
      <c r="A192" s="19"/>
      <c r="B192" s="20"/>
      <c r="C192" s="108"/>
      <c r="D192" s="47"/>
    </row>
    <row r="193" spans="1:5" ht="13.5" thickBot="1">
      <c r="A193" s="16" t="s">
        <v>72</v>
      </c>
      <c r="B193" s="3" t="s">
        <v>73</v>
      </c>
      <c r="C193" s="10"/>
      <c r="D193" s="14"/>
      <c r="E193" s="22"/>
    </row>
    <row r="194" spans="1:5" ht="39" thickBot="1">
      <c r="A194" s="72"/>
      <c r="B194" s="73" t="s">
        <v>77</v>
      </c>
      <c r="C194" s="74" t="s">
        <v>78</v>
      </c>
      <c r="D194" s="75" t="s">
        <v>31</v>
      </c>
      <c r="E194" s="76" t="s">
        <v>79</v>
      </c>
    </row>
    <row r="195" spans="1:5" ht="12.75">
      <c r="A195" s="52">
        <v>1</v>
      </c>
      <c r="B195" s="59" t="s">
        <v>89</v>
      </c>
      <c r="C195" s="89">
        <f>396344.15</f>
        <v>396344.15</v>
      </c>
      <c r="D195" s="90">
        <f>370656.2-3026.66</f>
        <v>367629.54000000004</v>
      </c>
      <c r="E195" s="91">
        <f>D195-C195</f>
        <v>-28714.609999999986</v>
      </c>
    </row>
    <row r="196" spans="1:5" ht="12.75">
      <c r="A196" s="44">
        <v>2</v>
      </c>
      <c r="B196" s="5" t="s">
        <v>74</v>
      </c>
      <c r="C196" s="92">
        <f>51974.01</f>
        <v>51974.01</v>
      </c>
      <c r="D196" s="93">
        <f>73461.39-0.01</f>
        <v>73461.38</v>
      </c>
      <c r="E196" s="94">
        <f>D196-C196</f>
        <v>21487.370000000003</v>
      </c>
    </row>
    <row r="197" spans="1:5" ht="12.75">
      <c r="A197" s="44">
        <v>3</v>
      </c>
      <c r="B197" s="5" t="s">
        <v>142</v>
      </c>
      <c r="C197" s="92">
        <f>50182.54-19080.94+14400+14400+9035.65</f>
        <v>68937.25</v>
      </c>
      <c r="D197" s="93">
        <f>54967.4-19080.94+14758.68+14758.68+17004.49-4733.64+13492</f>
        <v>91166.67000000001</v>
      </c>
      <c r="E197" s="94">
        <f>D197-C197</f>
        <v>22229.420000000013</v>
      </c>
    </row>
    <row r="198" spans="1:5" ht="13.5" thickBot="1">
      <c r="A198" s="79">
        <v>4</v>
      </c>
      <c r="B198" s="48" t="s">
        <v>91</v>
      </c>
      <c r="C198" s="106">
        <f>1350+4500+2100</f>
        <v>7950</v>
      </c>
      <c r="D198" s="107">
        <f>450+1350+3600+2100</f>
        <v>7500</v>
      </c>
      <c r="E198" s="97">
        <f>D198-C198</f>
        <v>-450</v>
      </c>
    </row>
    <row r="199" spans="1:5" ht="13.5" thickBot="1">
      <c r="A199" s="77"/>
      <c r="B199" s="78"/>
      <c r="C199" s="105">
        <f>SUM(C195:C198)</f>
        <v>525205.41</v>
      </c>
      <c r="D199" s="105">
        <f>SUM(D195:D198)</f>
        <v>539757.5900000001</v>
      </c>
      <c r="E199" s="118">
        <f>SUM(E195:E198)</f>
        <v>14552.18000000003</v>
      </c>
    </row>
    <row r="200" spans="1:5" ht="12.75">
      <c r="A200" s="138" t="s">
        <v>66</v>
      </c>
      <c r="B200" s="139"/>
      <c r="C200" s="139"/>
      <c r="D200" s="139"/>
      <c r="E200" s="110">
        <f>E257</f>
        <v>232486.96999999994</v>
      </c>
    </row>
    <row r="201" spans="1:5" ht="12.75">
      <c r="A201" s="26"/>
      <c r="B201" s="15"/>
      <c r="C201" s="119"/>
      <c r="D201" s="119"/>
      <c r="E201" s="119"/>
    </row>
    <row r="202" spans="1:2" ht="13.5" thickBot="1">
      <c r="A202" s="25"/>
      <c r="B202" s="3" t="s">
        <v>94</v>
      </c>
    </row>
    <row r="203" spans="1:3" ht="12.75">
      <c r="A203" s="101"/>
      <c r="B203" s="102" t="s">
        <v>76</v>
      </c>
      <c r="C203" s="103"/>
    </row>
    <row r="204" spans="1:4" ht="38.25">
      <c r="A204" s="46">
        <v>1</v>
      </c>
      <c r="B204" s="43" t="s">
        <v>13</v>
      </c>
      <c r="C204" s="88">
        <f>C235</f>
        <v>234514.13999999998</v>
      </c>
      <c r="D204" s="21"/>
    </row>
    <row r="205" spans="1:4" ht="38.25">
      <c r="A205" s="46">
        <v>2</v>
      </c>
      <c r="B205" s="17" t="s">
        <v>22</v>
      </c>
      <c r="C205" s="83">
        <f>C240</f>
        <v>16467.350000000002</v>
      </c>
      <c r="D205" s="98"/>
    </row>
    <row r="206" spans="1:4" ht="12.75">
      <c r="A206" s="44">
        <v>3</v>
      </c>
      <c r="B206" s="8" t="s">
        <v>86</v>
      </c>
      <c r="C206" s="100">
        <v>2293.11</v>
      </c>
      <c r="D206" s="98"/>
    </row>
    <row r="207" spans="1:4" ht="12.75">
      <c r="A207" s="46">
        <v>4</v>
      </c>
      <c r="B207" s="8" t="s">
        <v>15</v>
      </c>
      <c r="C207" s="100">
        <v>10754.6</v>
      </c>
      <c r="D207" s="98"/>
    </row>
    <row r="208" spans="1:4" ht="12.75">
      <c r="A208" s="44">
        <v>5</v>
      </c>
      <c r="B208" s="8" t="s">
        <v>37</v>
      </c>
      <c r="C208" s="84">
        <v>16013.11</v>
      </c>
      <c r="D208" s="98"/>
    </row>
    <row r="209" spans="1:4" ht="12.75">
      <c r="A209" s="44">
        <v>6</v>
      </c>
      <c r="B209" s="8" t="s">
        <v>38</v>
      </c>
      <c r="C209" s="84">
        <v>44423.38</v>
      </c>
      <c r="D209" s="98"/>
    </row>
    <row r="210" spans="1:4" ht="12.75">
      <c r="A210" s="44">
        <v>7</v>
      </c>
      <c r="B210" s="17" t="s">
        <v>96</v>
      </c>
      <c r="C210" s="88">
        <v>-194.76</v>
      </c>
      <c r="D210" s="98"/>
    </row>
    <row r="211" spans="1:5" ht="12.75">
      <c r="A211" s="44">
        <v>8</v>
      </c>
      <c r="B211" s="50" t="s">
        <v>97</v>
      </c>
      <c r="C211" s="88">
        <v>454.48</v>
      </c>
      <c r="D211" s="98"/>
      <c r="E211" t="s">
        <v>87</v>
      </c>
    </row>
    <row r="212" spans="1:4" ht="12.75">
      <c r="A212" s="44">
        <v>9</v>
      </c>
      <c r="B212" s="50" t="s">
        <v>139</v>
      </c>
      <c r="C212" s="88">
        <v>54000</v>
      </c>
      <c r="D212" s="98"/>
    </row>
    <row r="213" spans="1:4" ht="12.75">
      <c r="A213" s="44">
        <v>10</v>
      </c>
      <c r="B213" s="17" t="s">
        <v>127</v>
      </c>
      <c r="C213" s="88">
        <v>1856.7</v>
      </c>
      <c r="D213" s="98"/>
    </row>
    <row r="214" spans="1:4" ht="12.75">
      <c r="A214" s="44">
        <v>11</v>
      </c>
      <c r="B214" s="50" t="s">
        <v>125</v>
      </c>
      <c r="C214" s="88">
        <v>4500</v>
      </c>
      <c r="D214" s="98"/>
    </row>
    <row r="215" spans="1:4" ht="25.5">
      <c r="A215" s="44">
        <v>12</v>
      </c>
      <c r="B215" s="17" t="s">
        <v>118</v>
      </c>
      <c r="C215" s="88">
        <v>112</v>
      </c>
      <c r="D215" s="98"/>
    </row>
    <row r="216" spans="1:4" ht="25.5">
      <c r="A216" s="44">
        <v>13</v>
      </c>
      <c r="B216" s="17" t="s">
        <v>44</v>
      </c>
      <c r="C216" s="88">
        <v>500</v>
      </c>
      <c r="D216" s="98"/>
    </row>
    <row r="217" spans="1:4" ht="12.75">
      <c r="A217" s="44">
        <v>14</v>
      </c>
      <c r="B217" s="17" t="s">
        <v>12</v>
      </c>
      <c r="C217" s="88">
        <f>394.79+555.17</f>
        <v>949.96</v>
      </c>
      <c r="D217" s="98"/>
    </row>
    <row r="218" spans="1:5" ht="25.5">
      <c r="A218" s="44">
        <v>15</v>
      </c>
      <c r="B218" s="17" t="s">
        <v>128</v>
      </c>
      <c r="C218" s="88">
        <v>181.72</v>
      </c>
      <c r="D218" s="98"/>
      <c r="E218" t="s">
        <v>87</v>
      </c>
    </row>
    <row r="219" spans="1:5" ht="12.75">
      <c r="A219" s="44">
        <v>16</v>
      </c>
      <c r="B219" s="17" t="s">
        <v>129</v>
      </c>
      <c r="C219" s="88">
        <v>19492.64</v>
      </c>
      <c r="D219" s="98"/>
      <c r="E219" t="s">
        <v>87</v>
      </c>
    </row>
    <row r="220" spans="1:3" ht="12.75">
      <c r="A220" s="44">
        <v>17</v>
      </c>
      <c r="B220" s="8" t="s">
        <v>24</v>
      </c>
      <c r="C220" s="85">
        <f>C199*0.06</f>
        <v>31512.3246</v>
      </c>
    </row>
    <row r="221" spans="1:3" ht="12.75">
      <c r="A221" s="44">
        <v>18</v>
      </c>
      <c r="B221" s="61" t="s">
        <v>90</v>
      </c>
      <c r="C221" s="124">
        <v>4872.04</v>
      </c>
    </row>
    <row r="222" spans="1:3" ht="12.75">
      <c r="A222" s="33"/>
      <c r="B222" s="13" t="s">
        <v>93</v>
      </c>
      <c r="C222" s="120">
        <f>SUM(C204:C221)</f>
        <v>442702.7945999999</v>
      </c>
    </row>
    <row r="223" spans="1:3" ht="12.75">
      <c r="A223" s="32"/>
      <c r="B223" s="8" t="s">
        <v>48</v>
      </c>
      <c r="C223" s="100">
        <f>D199*10%</f>
        <v>53975.75900000001</v>
      </c>
    </row>
    <row r="224" spans="1:4" ht="13.5" thickBot="1">
      <c r="A224" s="39"/>
      <c r="B224" s="34" t="s">
        <v>69</v>
      </c>
      <c r="C224" s="109">
        <f>C222+C223</f>
        <v>496678.5535999999</v>
      </c>
      <c r="D224" s="21"/>
    </row>
    <row r="225" spans="1:4" ht="12.75">
      <c r="A225" s="16"/>
      <c r="B225" s="4"/>
      <c r="C225" s="99"/>
      <c r="D225" s="21"/>
    </row>
    <row r="226" spans="1:3" ht="15">
      <c r="A226" s="47" t="s">
        <v>14</v>
      </c>
      <c r="B226" s="111"/>
      <c r="C226" s="99">
        <v>280617.73</v>
      </c>
    </row>
    <row r="227" spans="1:3" ht="15">
      <c r="A227" s="47" t="s">
        <v>119</v>
      </c>
      <c r="B227" s="111"/>
      <c r="C227" s="87">
        <f>-(C199-C224+(-C226))</f>
        <v>252090.87359999988</v>
      </c>
    </row>
    <row r="228" spans="1:3" ht="15">
      <c r="A228" s="16"/>
      <c r="B228" s="11"/>
      <c r="C228" s="87"/>
    </row>
    <row r="229" ht="12.75">
      <c r="B229" s="1" t="s">
        <v>71</v>
      </c>
    </row>
    <row r="230" ht="12.75">
      <c r="B230" s="1" t="s">
        <v>28</v>
      </c>
    </row>
    <row r="231" ht="12.75">
      <c r="B231" s="1"/>
    </row>
    <row r="232" spans="1:4" ht="12.75">
      <c r="A232" s="2"/>
      <c r="B232" s="2"/>
      <c r="C232" s="2" t="s">
        <v>75</v>
      </c>
      <c r="D232" s="2"/>
    </row>
    <row r="233" spans="1:4" ht="12.75">
      <c r="A233" s="2"/>
      <c r="B233" s="2"/>
      <c r="C233" s="2" t="s">
        <v>59</v>
      </c>
      <c r="D233" s="2"/>
    </row>
    <row r="234" spans="1:4" ht="13.5" thickBot="1">
      <c r="A234" s="25"/>
      <c r="B234" s="25" t="s">
        <v>68</v>
      </c>
      <c r="C234" s="23"/>
      <c r="D234" s="53"/>
    </row>
    <row r="235" spans="1:5" ht="12.75">
      <c r="A235" s="35" t="s">
        <v>95</v>
      </c>
      <c r="B235" s="27" t="s">
        <v>50</v>
      </c>
      <c r="C235" s="31">
        <f>C237+C238+C239+54648.59+153889.83</f>
        <v>234514.13999999998</v>
      </c>
      <c r="D235" s="12"/>
      <c r="E235" s="14"/>
    </row>
    <row r="236" spans="1:5" ht="12.75">
      <c r="A236" s="36"/>
      <c r="B236" s="6" t="s">
        <v>92</v>
      </c>
      <c r="C236" s="28"/>
      <c r="D236" s="12"/>
      <c r="E236" s="14"/>
    </row>
    <row r="237" spans="1:5" ht="12.75">
      <c r="A237" s="37" t="s">
        <v>85</v>
      </c>
      <c r="B237" s="6" t="s">
        <v>70</v>
      </c>
      <c r="C237" s="28">
        <f>11119+1034.43</f>
        <v>12153.43</v>
      </c>
      <c r="D237" s="12"/>
      <c r="E237" s="12"/>
    </row>
    <row r="238" spans="1:5" ht="12.75">
      <c r="A238" s="37" t="s">
        <v>85</v>
      </c>
      <c r="B238" s="40" t="s">
        <v>124</v>
      </c>
      <c r="C238" s="41">
        <v>2095.95</v>
      </c>
      <c r="D238" s="12"/>
      <c r="E238" s="12"/>
    </row>
    <row r="239" spans="1:5" ht="13.5" thickBot="1">
      <c r="A239" s="49" t="s">
        <v>85</v>
      </c>
      <c r="B239" s="40" t="s">
        <v>126</v>
      </c>
      <c r="C239" s="41">
        <v>11726.34</v>
      </c>
      <c r="D239" s="12"/>
      <c r="E239" s="12"/>
    </row>
    <row r="240" spans="1:5" ht="12.75">
      <c r="A240" s="35" t="s">
        <v>116</v>
      </c>
      <c r="B240" s="27" t="s">
        <v>29</v>
      </c>
      <c r="C240" s="31">
        <f>C242+12571.04</f>
        <v>16467.350000000002</v>
      </c>
      <c r="D240" s="12"/>
      <c r="E240" s="10"/>
    </row>
    <row r="241" spans="1:5" ht="12.75">
      <c r="A241" s="36"/>
      <c r="B241" s="6" t="s">
        <v>92</v>
      </c>
      <c r="C241" s="28"/>
      <c r="D241" s="12"/>
      <c r="E241" s="14"/>
    </row>
    <row r="242" spans="1:5" ht="13.5" thickBot="1">
      <c r="A242" s="38" t="s">
        <v>85</v>
      </c>
      <c r="B242" s="29" t="s">
        <v>70</v>
      </c>
      <c r="C242" s="30">
        <f>2897+999.31</f>
        <v>3896.31</v>
      </c>
      <c r="D242" s="12"/>
      <c r="E242" s="12"/>
    </row>
    <row r="243" ht="13.5" thickBot="1"/>
    <row r="244" spans="2:5" ht="24.75" thickBot="1">
      <c r="B244" s="60"/>
      <c r="C244" s="65" t="s">
        <v>78</v>
      </c>
      <c r="D244" s="71" t="s">
        <v>31</v>
      </c>
      <c r="E244" s="56" t="s">
        <v>30</v>
      </c>
    </row>
    <row r="245" spans="2:5" ht="13.5" thickBot="1">
      <c r="B245" s="140" t="s">
        <v>136</v>
      </c>
      <c r="C245" s="141"/>
      <c r="D245" s="141"/>
      <c r="E245" s="142"/>
    </row>
    <row r="246" spans="2:5" ht="12.75">
      <c r="B246" s="58" t="s">
        <v>89</v>
      </c>
      <c r="C246" s="89">
        <f>480451.38+5205.07</f>
        <v>485656.45</v>
      </c>
      <c r="D246" s="90">
        <f>661607.61-96.68</f>
        <v>661510.9299999999</v>
      </c>
      <c r="E246" s="91">
        <f>D246-C246</f>
        <v>175854.47999999992</v>
      </c>
    </row>
    <row r="247" spans="2:5" ht="12.75">
      <c r="B247" s="54" t="s">
        <v>91</v>
      </c>
      <c r="C247" s="113">
        <f>4500+4200</f>
        <v>8700</v>
      </c>
      <c r="D247" s="113">
        <f>4950+4550</f>
        <v>9500</v>
      </c>
      <c r="E247" s="94">
        <f>D247-C247</f>
        <v>800</v>
      </c>
    </row>
    <row r="248" spans="2:5" ht="13.5" thickBot="1">
      <c r="B248" s="63" t="s">
        <v>99</v>
      </c>
      <c r="C248" s="106">
        <f>24219.49+24219.49+25010.36</f>
        <v>73449.34</v>
      </c>
      <c r="D248" s="107">
        <f>34785+25933.36+25933.36+28077.93</f>
        <v>114729.65</v>
      </c>
      <c r="E248" s="97">
        <f>D248-C248</f>
        <v>41280.31</v>
      </c>
    </row>
    <row r="249" spans="2:5" ht="13.5" thickBot="1">
      <c r="B249" s="55"/>
      <c r="C249" s="81">
        <f>SUM(C246:C248)</f>
        <v>567805.79</v>
      </c>
      <c r="D249" s="81">
        <f>SUM(D246:D248)</f>
        <v>785740.58</v>
      </c>
      <c r="E249" s="57">
        <f>SUM(E246:E248)</f>
        <v>217934.78999999992</v>
      </c>
    </row>
    <row r="250" spans="2:5" ht="13.5" thickBot="1">
      <c r="B250" s="140" t="s">
        <v>137</v>
      </c>
      <c r="C250" s="141"/>
      <c r="D250" s="141"/>
      <c r="E250" s="142"/>
    </row>
    <row r="251" spans="2:5" ht="12.75">
      <c r="B251" s="58" t="s">
        <v>89</v>
      </c>
      <c r="C251" s="89">
        <f>396344.15</f>
        <v>396344.15</v>
      </c>
      <c r="D251" s="90">
        <f>370656.2-3026.66</f>
        <v>367629.54000000004</v>
      </c>
      <c r="E251" s="91">
        <f>D251-C251</f>
        <v>-28714.609999999986</v>
      </c>
    </row>
    <row r="252" spans="2:5" ht="12.75">
      <c r="B252" s="54" t="s">
        <v>74</v>
      </c>
      <c r="C252" s="92">
        <f>51974.01</f>
        <v>51974.01</v>
      </c>
      <c r="D252" s="93">
        <f>73461.39-0.01</f>
        <v>73461.38</v>
      </c>
      <c r="E252" s="94">
        <f>D252-C252</f>
        <v>21487.370000000003</v>
      </c>
    </row>
    <row r="253" spans="2:5" ht="12.75">
      <c r="B253" s="54" t="s">
        <v>142</v>
      </c>
      <c r="C253" s="92">
        <f>50182.54-19080.94+14400+14400+9035.65</f>
        <v>68937.25</v>
      </c>
      <c r="D253" s="93">
        <f>54967.4-19080.94+14758.68+14758.68+17004.49-4733.64+13492</f>
        <v>91166.67000000001</v>
      </c>
      <c r="E253" s="94">
        <f>D253-C253</f>
        <v>22229.420000000013</v>
      </c>
    </row>
    <row r="254" spans="2:5" ht="13.5" thickBot="1">
      <c r="B254" s="63" t="s">
        <v>91</v>
      </c>
      <c r="C254" s="106">
        <f>1350+4500+2100</f>
        <v>7950</v>
      </c>
      <c r="D254" s="107">
        <f>450+1350+3600+2100</f>
        <v>7500</v>
      </c>
      <c r="E254" s="97">
        <f>D254-C254</f>
        <v>-450</v>
      </c>
    </row>
    <row r="255" spans="2:5" ht="13.5" thickBot="1">
      <c r="B255" s="55"/>
      <c r="C255" s="80">
        <f>SUM(C251:C254)</f>
        <v>525205.41</v>
      </c>
      <c r="D255" s="80">
        <f>SUM(D251:D254)</f>
        <v>539757.5900000001</v>
      </c>
      <c r="E255" s="57">
        <f>SUM(E251:E254)</f>
        <v>14552.18000000003</v>
      </c>
    </row>
    <row r="256" spans="2:5" ht="13.5" thickBot="1">
      <c r="B256" s="143" t="s">
        <v>80</v>
      </c>
      <c r="C256" s="144"/>
      <c r="D256" s="144"/>
      <c r="E256" s="145"/>
    </row>
    <row r="257" spans="2:5" ht="13.5" thickBot="1">
      <c r="B257" s="62"/>
      <c r="C257" s="64">
        <f>C249+C255</f>
        <v>1093011.2000000002</v>
      </c>
      <c r="D257" s="64">
        <f>D249+D255</f>
        <v>1325498.17</v>
      </c>
      <c r="E257" s="64">
        <f>E249+E255</f>
        <v>232486.96999999994</v>
      </c>
    </row>
  </sheetData>
  <sheetProtection/>
  <mergeCells count="39">
    <mergeCell ref="A16:D16"/>
    <mergeCell ref="A5:E5"/>
    <mergeCell ref="A6:E6"/>
    <mergeCell ref="A7:E7"/>
    <mergeCell ref="C8:E8"/>
    <mergeCell ref="A1:B1"/>
    <mergeCell ref="C1:E1"/>
    <mergeCell ref="C2:E2"/>
    <mergeCell ref="B3:E3"/>
    <mergeCell ref="A74:D74"/>
    <mergeCell ref="A63:E63"/>
    <mergeCell ref="A64:E64"/>
    <mergeCell ref="A65:E65"/>
    <mergeCell ref="C66:E66"/>
    <mergeCell ref="A59:B59"/>
    <mergeCell ref="C59:E59"/>
    <mergeCell ref="C60:E60"/>
    <mergeCell ref="B61:E61"/>
    <mergeCell ref="A138:D138"/>
    <mergeCell ref="A127:E127"/>
    <mergeCell ref="A128:E128"/>
    <mergeCell ref="A129:E129"/>
    <mergeCell ref="C130:E130"/>
    <mergeCell ref="A123:B123"/>
    <mergeCell ref="C123:E123"/>
    <mergeCell ref="C124:E124"/>
    <mergeCell ref="B125:E125"/>
    <mergeCell ref="A184:B184"/>
    <mergeCell ref="C184:E184"/>
    <mergeCell ref="C185:E185"/>
    <mergeCell ref="B186:E186"/>
    <mergeCell ref="A188:E188"/>
    <mergeCell ref="A189:E189"/>
    <mergeCell ref="A190:E190"/>
    <mergeCell ref="C191:E191"/>
    <mergeCell ref="A200:D200"/>
    <mergeCell ref="B245:E245"/>
    <mergeCell ref="B250:E250"/>
    <mergeCell ref="B256:E256"/>
  </mergeCells>
  <printOptions/>
  <pageMargins left="0.3937007874015748" right="0.1968503937007874" top="0.1968503937007874" bottom="0.1968503937007874" header="0.5118110236220472" footer="0.5118110236220472"/>
  <pageSetup fitToHeight="1" fitToWidth="1" orientation="portrait" paperSize="9" scale="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6"/>
  <sheetViews>
    <sheetView zoomScalePageLayoutView="0" workbookViewId="0" topLeftCell="A168">
      <selection activeCell="A116" sqref="A116:D129"/>
    </sheetView>
  </sheetViews>
  <sheetFormatPr defaultColWidth="9.00390625" defaultRowHeight="12.75"/>
  <cols>
    <col min="1" max="1" width="3.875" style="0" customWidth="1"/>
    <col min="2" max="2" width="55.25390625" style="0" customWidth="1"/>
    <col min="3" max="3" width="13.625" style="0" customWidth="1"/>
    <col min="4" max="4" width="13.25390625" style="0" customWidth="1"/>
    <col min="5" max="5" width="14.75390625" style="0" customWidth="1"/>
  </cols>
  <sheetData>
    <row r="1" spans="1:5" ht="12.75">
      <c r="A1" s="132"/>
      <c r="B1" s="132"/>
      <c r="C1" s="133" t="s">
        <v>84</v>
      </c>
      <c r="D1" s="134"/>
      <c r="E1" s="134"/>
    </row>
    <row r="2" spans="1:5" ht="14.25">
      <c r="A2" s="16"/>
      <c r="B2" s="104"/>
      <c r="C2" s="135" t="s">
        <v>20</v>
      </c>
      <c r="D2" s="136"/>
      <c r="E2" s="136"/>
    </row>
    <row r="3" spans="1:5" ht="14.25">
      <c r="A3" s="16"/>
      <c r="B3" s="135" t="s">
        <v>21</v>
      </c>
      <c r="C3" s="136"/>
      <c r="D3" s="136"/>
      <c r="E3" s="136"/>
    </row>
    <row r="4" spans="1:5" ht="12.75">
      <c r="A4" s="16"/>
      <c r="B4" s="24"/>
      <c r="C4" s="18"/>
      <c r="D4" s="18"/>
      <c r="E4" s="18"/>
    </row>
    <row r="5" spans="1:5" ht="18">
      <c r="A5" s="137" t="s">
        <v>33</v>
      </c>
      <c r="B5" s="130"/>
      <c r="C5" s="130"/>
      <c r="D5" s="130"/>
      <c r="E5" s="130"/>
    </row>
    <row r="6" spans="1:5" ht="15">
      <c r="A6" s="129" t="s">
        <v>34</v>
      </c>
      <c r="B6" s="131"/>
      <c r="C6" s="131"/>
      <c r="D6" s="131"/>
      <c r="E6" s="131"/>
    </row>
    <row r="7" spans="1:5" ht="15">
      <c r="A7" s="129"/>
      <c r="B7" s="130"/>
      <c r="C7" s="130"/>
      <c r="D7" s="130"/>
      <c r="E7" s="130"/>
    </row>
    <row r="8" spans="1:5" ht="15">
      <c r="A8" s="19"/>
      <c r="B8" s="20" t="s">
        <v>60</v>
      </c>
      <c r="C8" s="129"/>
      <c r="D8" s="131"/>
      <c r="E8" s="131"/>
    </row>
    <row r="9" spans="1:4" ht="15">
      <c r="A9" s="19"/>
      <c r="B9" s="20" t="s">
        <v>81</v>
      </c>
      <c r="C9" s="108">
        <v>5683.1</v>
      </c>
      <c r="D9" s="47" t="s">
        <v>82</v>
      </c>
    </row>
    <row r="10" spans="1:5" ht="13.5" thickBot="1">
      <c r="A10" s="16" t="s">
        <v>72</v>
      </c>
      <c r="B10" s="3" t="s">
        <v>73</v>
      </c>
      <c r="C10" s="10"/>
      <c r="D10" s="14"/>
      <c r="E10" s="22"/>
    </row>
    <row r="11" spans="1:5" ht="39" thickBot="1">
      <c r="A11" s="72"/>
      <c r="B11" s="73" t="s">
        <v>77</v>
      </c>
      <c r="C11" s="74" t="s">
        <v>78</v>
      </c>
      <c r="D11" s="75" t="s">
        <v>31</v>
      </c>
      <c r="E11" s="76" t="s">
        <v>79</v>
      </c>
    </row>
    <row r="12" spans="1:5" ht="12.75">
      <c r="A12" s="52">
        <v>1</v>
      </c>
      <c r="B12" s="59" t="s">
        <v>89</v>
      </c>
      <c r="C12" s="89">
        <v>697198.74</v>
      </c>
      <c r="D12" s="90">
        <v>968515.24</v>
      </c>
      <c r="E12" s="91">
        <f>D12-C12</f>
        <v>271316.5</v>
      </c>
    </row>
    <row r="13" spans="1:5" ht="12.75">
      <c r="A13" s="45">
        <v>2</v>
      </c>
      <c r="B13" s="5" t="s">
        <v>91</v>
      </c>
      <c r="C13" s="113">
        <f>2700+5600</f>
        <v>8300</v>
      </c>
      <c r="D13" s="113">
        <f>2700+5600</f>
        <v>8300</v>
      </c>
      <c r="E13" s="94">
        <f>D13-C13</f>
        <v>0</v>
      </c>
    </row>
    <row r="14" spans="1:5" ht="13.5" thickBot="1">
      <c r="A14" s="79">
        <v>3</v>
      </c>
      <c r="B14" s="48" t="s">
        <v>106</v>
      </c>
      <c r="C14" s="106">
        <v>0</v>
      </c>
      <c r="D14" s="107">
        <v>33080.46</v>
      </c>
      <c r="E14" s="97">
        <f>D14-C14</f>
        <v>33080.46</v>
      </c>
    </row>
    <row r="15" spans="1:5" ht="13.5" thickBot="1">
      <c r="A15" s="66"/>
      <c r="B15" s="67"/>
      <c r="C15" s="95">
        <f>SUM(C12:C14)</f>
        <v>705498.74</v>
      </c>
      <c r="D15" s="95">
        <f>SUM(D12:D14)</f>
        <v>1009895.7</v>
      </c>
      <c r="E15" s="95">
        <f>SUM(E12:E14)</f>
        <v>304396.96</v>
      </c>
    </row>
    <row r="16" spans="1:5" ht="12.75">
      <c r="A16" s="138" t="s">
        <v>67</v>
      </c>
      <c r="B16" s="131"/>
      <c r="C16" s="131"/>
      <c r="D16" s="131"/>
      <c r="E16" s="99">
        <v>656970.47</v>
      </c>
    </row>
    <row r="17" spans="1:2" ht="13.5" thickBot="1">
      <c r="A17" s="25"/>
      <c r="B17" s="3" t="s">
        <v>94</v>
      </c>
    </row>
    <row r="18" spans="1:3" ht="12.75">
      <c r="A18" s="101"/>
      <c r="B18" s="102" t="s">
        <v>76</v>
      </c>
      <c r="C18" s="103"/>
    </row>
    <row r="19" spans="1:4" ht="38.25">
      <c r="A19" s="46">
        <v>1</v>
      </c>
      <c r="B19" s="43" t="s">
        <v>36</v>
      </c>
      <c r="C19" s="88">
        <f>C52</f>
        <v>492887.86</v>
      </c>
      <c r="D19" s="21"/>
    </row>
    <row r="20" spans="1:4" ht="38.25">
      <c r="A20" s="46">
        <v>2</v>
      </c>
      <c r="B20" s="17" t="s">
        <v>22</v>
      </c>
      <c r="C20" s="83">
        <f>C58</f>
        <v>39935.39</v>
      </c>
      <c r="D20" s="98"/>
    </row>
    <row r="21" spans="1:4" ht="12.75">
      <c r="A21" s="44">
        <v>3</v>
      </c>
      <c r="B21" s="8" t="s">
        <v>86</v>
      </c>
      <c r="C21" s="85">
        <v>14744.59</v>
      </c>
      <c r="D21" s="98"/>
    </row>
    <row r="22" spans="1:4" ht="12.75">
      <c r="A22" s="46">
        <v>4</v>
      </c>
      <c r="B22" s="8" t="s">
        <v>98</v>
      </c>
      <c r="C22" s="85">
        <v>21847.98</v>
      </c>
      <c r="D22" s="98"/>
    </row>
    <row r="23" spans="1:4" ht="12.75">
      <c r="A23" s="44">
        <v>5</v>
      </c>
      <c r="B23" s="8" t="s">
        <v>37</v>
      </c>
      <c r="C23" s="84">
        <v>22719.51</v>
      </c>
      <c r="D23" s="98"/>
    </row>
    <row r="24" spans="1:4" ht="12.75">
      <c r="A24" s="44">
        <v>6</v>
      </c>
      <c r="B24" s="8" t="s">
        <v>38</v>
      </c>
      <c r="C24" s="84">
        <v>98322.96</v>
      </c>
      <c r="D24" s="98"/>
    </row>
    <row r="25" spans="1:4" ht="12.75">
      <c r="A25" s="44">
        <v>7</v>
      </c>
      <c r="B25" s="17" t="s">
        <v>96</v>
      </c>
      <c r="C25" s="82">
        <v>270.16</v>
      </c>
      <c r="D25" s="98"/>
    </row>
    <row r="26" spans="1:5" ht="25.5">
      <c r="A26" s="44">
        <v>8</v>
      </c>
      <c r="B26" s="17" t="s">
        <v>97</v>
      </c>
      <c r="C26" s="82">
        <v>945.52</v>
      </c>
      <c r="D26" s="98"/>
      <c r="E26" t="s">
        <v>87</v>
      </c>
    </row>
    <row r="27" spans="1:4" ht="25.5">
      <c r="A27" s="46">
        <v>9</v>
      </c>
      <c r="B27" s="17" t="s">
        <v>39</v>
      </c>
      <c r="C27" s="82">
        <v>51000</v>
      </c>
      <c r="D27" s="98"/>
    </row>
    <row r="28" spans="1:4" ht="12.75">
      <c r="A28" s="46">
        <v>10</v>
      </c>
      <c r="B28" s="17" t="s">
        <v>40</v>
      </c>
      <c r="C28" s="82">
        <v>1200</v>
      </c>
      <c r="D28" s="98"/>
    </row>
    <row r="29" spans="1:4" ht="25.5">
      <c r="A29" s="46">
        <v>11</v>
      </c>
      <c r="B29" s="17" t="s">
        <v>41</v>
      </c>
      <c r="C29" s="82">
        <v>9000</v>
      </c>
      <c r="D29" s="98"/>
    </row>
    <row r="30" spans="1:4" ht="25.5">
      <c r="A30" s="46">
        <v>12</v>
      </c>
      <c r="B30" s="17" t="s">
        <v>42</v>
      </c>
      <c r="C30" s="82">
        <v>4389.86</v>
      </c>
      <c r="D30" s="98"/>
    </row>
    <row r="31" spans="1:4" ht="25.5">
      <c r="A31" s="46">
        <v>13</v>
      </c>
      <c r="B31" s="17" t="s">
        <v>10</v>
      </c>
      <c r="C31" s="82">
        <v>2026.09</v>
      </c>
      <c r="D31" s="98"/>
    </row>
    <row r="32" spans="1:4" ht="12.75">
      <c r="A32" s="46">
        <v>14</v>
      </c>
      <c r="B32" s="17" t="s">
        <v>43</v>
      </c>
      <c r="C32" s="82">
        <v>10447.19</v>
      </c>
      <c r="D32" s="98"/>
    </row>
    <row r="33" spans="1:4" ht="25.5">
      <c r="A33" s="46">
        <v>15</v>
      </c>
      <c r="B33" s="17" t="s">
        <v>44</v>
      </c>
      <c r="C33" s="82">
        <v>1750</v>
      </c>
      <c r="D33" s="98"/>
    </row>
    <row r="34" spans="1:5" ht="12.75">
      <c r="A34" s="44">
        <v>16</v>
      </c>
      <c r="B34" s="17" t="s">
        <v>45</v>
      </c>
      <c r="C34" s="82">
        <v>686</v>
      </c>
      <c r="D34" s="98"/>
      <c r="E34" t="s">
        <v>87</v>
      </c>
    </row>
    <row r="35" spans="1:5" ht="12.75">
      <c r="A35" s="44">
        <v>17</v>
      </c>
      <c r="B35" s="17" t="s">
        <v>46</v>
      </c>
      <c r="C35" s="82">
        <v>306</v>
      </c>
      <c r="D35" s="98"/>
      <c r="E35" t="s">
        <v>87</v>
      </c>
    </row>
    <row r="36" spans="1:4" ht="25.5">
      <c r="A36" s="46">
        <v>18</v>
      </c>
      <c r="B36" s="17" t="s">
        <v>47</v>
      </c>
      <c r="C36" s="82">
        <v>500</v>
      </c>
      <c r="D36" s="98"/>
    </row>
    <row r="37" spans="1:4" ht="25.5">
      <c r="A37" s="46">
        <v>19</v>
      </c>
      <c r="B37" s="17" t="s">
        <v>61</v>
      </c>
      <c r="C37" s="82">
        <v>14000</v>
      </c>
      <c r="D37" s="98"/>
    </row>
    <row r="38" spans="1:4" ht="25.5">
      <c r="A38" s="46">
        <v>20</v>
      </c>
      <c r="B38" s="17" t="s">
        <v>62</v>
      </c>
      <c r="C38" s="82">
        <v>14000</v>
      </c>
      <c r="D38" s="98"/>
    </row>
    <row r="39" spans="1:4" ht="12.75">
      <c r="A39" s="46">
        <v>21</v>
      </c>
      <c r="B39" s="17" t="s">
        <v>53</v>
      </c>
      <c r="C39" s="82">
        <v>28238.85</v>
      </c>
      <c r="D39" s="98"/>
    </row>
    <row r="40" spans="1:3" ht="12.75">
      <c r="A40" s="33"/>
      <c r="B40" s="13" t="s">
        <v>93</v>
      </c>
      <c r="C40" s="86">
        <f>SUM(C19:C39)</f>
        <v>829217.9599999998</v>
      </c>
    </row>
    <row r="41" spans="1:3" ht="12.75">
      <c r="A41" s="32"/>
      <c r="B41" s="8" t="s">
        <v>48</v>
      </c>
      <c r="C41" s="85">
        <f>(D15)*10%</f>
        <v>100989.57</v>
      </c>
    </row>
    <row r="42" spans="1:4" ht="12.75">
      <c r="A42" s="7"/>
      <c r="B42" s="9" t="s">
        <v>69</v>
      </c>
      <c r="C42" s="115">
        <f>C40+C41</f>
        <v>930207.5299999998</v>
      </c>
      <c r="D42" s="21"/>
    </row>
    <row r="43" spans="1:4" ht="12.75">
      <c r="A43" s="16"/>
      <c r="B43" s="4"/>
      <c r="C43" s="87"/>
      <c r="D43" s="21"/>
    </row>
    <row r="44" spans="1:3" ht="15">
      <c r="A44" s="47" t="s">
        <v>27</v>
      </c>
      <c r="B44" s="111"/>
      <c r="C44" s="87">
        <f>C42-C15</f>
        <v>224708.7899999998</v>
      </c>
    </row>
    <row r="45" spans="1:3" ht="15">
      <c r="A45" s="16"/>
      <c r="B45" s="11"/>
      <c r="C45" s="87"/>
    </row>
    <row r="46" ht="12.75">
      <c r="B46" s="1" t="s">
        <v>71</v>
      </c>
    </row>
    <row r="47" ht="12.75">
      <c r="B47" s="1" t="s">
        <v>28</v>
      </c>
    </row>
    <row r="48" ht="12.75">
      <c r="B48" s="1"/>
    </row>
    <row r="49" spans="1:4" ht="12.75">
      <c r="A49" s="2"/>
      <c r="B49" s="2"/>
      <c r="C49" s="2" t="s">
        <v>75</v>
      </c>
      <c r="D49" s="2"/>
    </row>
    <row r="50" spans="1:4" ht="12.75">
      <c r="A50" s="2"/>
      <c r="B50" s="2"/>
      <c r="C50" s="2" t="s">
        <v>63</v>
      </c>
      <c r="D50" s="2"/>
    </row>
    <row r="51" spans="1:5" ht="13.5" thickBot="1">
      <c r="A51" s="25"/>
      <c r="B51" s="25" t="s">
        <v>68</v>
      </c>
      <c r="C51" s="23" t="s">
        <v>83</v>
      </c>
      <c r="D51" s="53">
        <f>C9</f>
        <v>5683.1</v>
      </c>
      <c r="E51" t="s">
        <v>82</v>
      </c>
    </row>
    <row r="52" spans="1:5" ht="12.75">
      <c r="A52" s="35" t="s">
        <v>95</v>
      </c>
      <c r="B52" s="27" t="s">
        <v>50</v>
      </c>
      <c r="C52" s="31">
        <f>480957.98+C54+C55+C56+C57</f>
        <v>492887.86</v>
      </c>
      <c r="D52" s="12"/>
      <c r="E52" s="14"/>
    </row>
    <row r="53" spans="1:5" ht="12.75">
      <c r="A53" s="36"/>
      <c r="B53" s="6" t="s">
        <v>92</v>
      </c>
      <c r="C53" s="28"/>
      <c r="D53" s="12"/>
      <c r="E53" s="14"/>
    </row>
    <row r="54" spans="1:5" ht="12.75">
      <c r="A54" s="37" t="s">
        <v>85</v>
      </c>
      <c r="B54" s="6" t="s">
        <v>70</v>
      </c>
      <c r="C54" s="116">
        <v>1291.33</v>
      </c>
      <c r="D54" s="12"/>
      <c r="E54" s="12"/>
    </row>
    <row r="55" spans="1:5" ht="12.75">
      <c r="A55" s="37" t="s">
        <v>85</v>
      </c>
      <c r="B55" s="40" t="s">
        <v>51</v>
      </c>
      <c r="C55" s="116">
        <v>146.59</v>
      </c>
      <c r="D55" s="12"/>
      <c r="E55" s="12"/>
    </row>
    <row r="56" spans="1:5" ht="12.75">
      <c r="A56" s="37" t="s">
        <v>85</v>
      </c>
      <c r="B56" s="40" t="s">
        <v>55</v>
      </c>
      <c r="C56" s="41">
        <v>8052.99</v>
      </c>
      <c r="D56" s="12"/>
      <c r="E56" s="12"/>
    </row>
    <row r="57" spans="1:5" ht="13.5" thickBot="1">
      <c r="A57" s="49" t="s">
        <v>85</v>
      </c>
      <c r="B57" s="40" t="s">
        <v>11</v>
      </c>
      <c r="C57" s="41">
        <f>2438.97</f>
        <v>2438.97</v>
      </c>
      <c r="D57" s="12"/>
      <c r="E57" s="12"/>
    </row>
    <row r="58" spans="1:5" ht="12.75">
      <c r="A58" s="35" t="s">
        <v>116</v>
      </c>
      <c r="B58" s="27" t="s">
        <v>29</v>
      </c>
      <c r="C58" s="31">
        <f>24368.83+C60</f>
        <v>39935.39</v>
      </c>
      <c r="D58" s="12"/>
      <c r="E58" s="10"/>
    </row>
    <row r="59" spans="1:5" ht="12.75">
      <c r="A59" s="36"/>
      <c r="B59" s="6" t="s">
        <v>92</v>
      </c>
      <c r="C59" s="28"/>
      <c r="D59" s="12"/>
      <c r="E59" s="14"/>
    </row>
    <row r="60" spans="1:5" ht="13.5" thickBot="1">
      <c r="A60" s="38" t="s">
        <v>85</v>
      </c>
      <c r="B60" s="29" t="s">
        <v>70</v>
      </c>
      <c r="C60" s="30">
        <f>8756.56+6810</f>
        <v>15566.56</v>
      </c>
      <c r="D60" s="12"/>
      <c r="E60" s="12"/>
    </row>
    <row r="62" spans="1:5" ht="12.75">
      <c r="A62" s="132"/>
      <c r="B62" s="132"/>
      <c r="C62" s="133" t="s">
        <v>84</v>
      </c>
      <c r="D62" s="134"/>
      <c r="E62" s="134"/>
    </row>
    <row r="63" spans="1:5" ht="14.25">
      <c r="A63" s="16"/>
      <c r="B63" s="104"/>
      <c r="C63" s="135" t="s">
        <v>20</v>
      </c>
      <c r="D63" s="136"/>
      <c r="E63" s="136"/>
    </row>
    <row r="64" spans="1:5" ht="20.25" customHeight="1">
      <c r="A64" s="16"/>
      <c r="B64" s="135" t="s">
        <v>21</v>
      </c>
      <c r="C64" s="136"/>
      <c r="D64" s="136"/>
      <c r="E64" s="136"/>
    </row>
    <row r="65" spans="1:5" ht="12.75">
      <c r="A65" s="16"/>
      <c r="B65" s="24"/>
      <c r="C65" s="18"/>
      <c r="D65" s="18"/>
      <c r="E65" s="18"/>
    </row>
    <row r="66" spans="1:5" ht="18">
      <c r="A66" s="137" t="s">
        <v>88</v>
      </c>
      <c r="B66" s="130"/>
      <c r="C66" s="130"/>
      <c r="D66" s="130"/>
      <c r="E66" s="130"/>
    </row>
    <row r="67" spans="1:5" ht="15">
      <c r="A67" s="129" t="s">
        <v>103</v>
      </c>
      <c r="B67" s="131"/>
      <c r="C67" s="131"/>
      <c r="D67" s="131"/>
      <c r="E67" s="131"/>
    </row>
    <row r="68" spans="1:5" ht="15">
      <c r="A68" s="129"/>
      <c r="B68" s="130"/>
      <c r="C68" s="130"/>
      <c r="D68" s="130"/>
      <c r="E68" s="130"/>
    </row>
    <row r="69" spans="1:5" ht="15">
      <c r="A69" s="19"/>
      <c r="B69" s="20" t="s">
        <v>60</v>
      </c>
      <c r="C69" s="129"/>
      <c r="D69" s="131"/>
      <c r="E69" s="131"/>
    </row>
    <row r="70" spans="1:4" ht="15">
      <c r="A70" s="19"/>
      <c r="B70" s="20"/>
      <c r="C70" s="108"/>
      <c r="D70" s="47"/>
    </row>
    <row r="71" spans="1:5" ht="13.5" thickBot="1">
      <c r="A71" s="16" t="s">
        <v>72</v>
      </c>
      <c r="B71" s="3" t="s">
        <v>73</v>
      </c>
      <c r="C71" s="10"/>
      <c r="D71" s="14"/>
      <c r="E71" s="22"/>
    </row>
    <row r="72" spans="1:5" ht="39" thickBot="1">
      <c r="A72" s="72"/>
      <c r="B72" s="73" t="s">
        <v>77</v>
      </c>
      <c r="C72" s="74" t="s">
        <v>78</v>
      </c>
      <c r="D72" s="75" t="s">
        <v>31</v>
      </c>
      <c r="E72" s="76" t="s">
        <v>79</v>
      </c>
    </row>
    <row r="73" spans="1:5" ht="12.75">
      <c r="A73" s="52">
        <v>1</v>
      </c>
      <c r="B73" s="59" t="s">
        <v>89</v>
      </c>
      <c r="C73" s="89">
        <v>993402.78</v>
      </c>
      <c r="D73" s="90">
        <f>1319770.43+1073.75</f>
        <v>1320844.18</v>
      </c>
      <c r="E73" s="91">
        <f>D73-C73</f>
        <v>327441.3999999999</v>
      </c>
    </row>
    <row r="74" spans="1:5" ht="12.75">
      <c r="A74" s="45">
        <v>2</v>
      </c>
      <c r="B74" s="5" t="s">
        <v>91</v>
      </c>
      <c r="C74" s="113">
        <f>3150+7700</f>
        <v>10850</v>
      </c>
      <c r="D74" s="113">
        <f>3600+7000</f>
        <v>10600</v>
      </c>
      <c r="E74" s="94">
        <f>D74-C74</f>
        <v>-250</v>
      </c>
    </row>
    <row r="75" spans="1:5" ht="13.5" thickBot="1">
      <c r="A75" s="79">
        <v>3</v>
      </c>
      <c r="B75" s="48" t="s">
        <v>106</v>
      </c>
      <c r="C75" s="106">
        <v>23784.09</v>
      </c>
      <c r="D75" s="107">
        <v>33927.51</v>
      </c>
      <c r="E75" s="97">
        <f>D75-C75</f>
        <v>10143.420000000002</v>
      </c>
    </row>
    <row r="76" spans="1:5" ht="13.5" thickBot="1">
      <c r="A76" s="66"/>
      <c r="B76" s="67"/>
      <c r="C76" s="95">
        <f>SUM(C73:C75)</f>
        <v>1028036.87</v>
      </c>
      <c r="D76" s="95">
        <f>SUM(D73:D75)</f>
        <v>1365371.69</v>
      </c>
      <c r="E76" s="95">
        <f>SUM(E73:E75)</f>
        <v>337334.8199999999</v>
      </c>
    </row>
    <row r="77" spans="1:5" ht="12.75">
      <c r="A77" s="26"/>
      <c r="B77" s="15"/>
      <c r="C77" s="119"/>
      <c r="D77" s="119"/>
      <c r="E77" s="119"/>
    </row>
    <row r="78" spans="1:2" ht="13.5" thickBot="1">
      <c r="A78" s="25"/>
      <c r="B78" s="3" t="s">
        <v>94</v>
      </c>
    </row>
    <row r="79" spans="1:3" ht="12.75">
      <c r="A79" s="101"/>
      <c r="B79" s="102" t="s">
        <v>76</v>
      </c>
      <c r="C79" s="103"/>
    </row>
    <row r="80" spans="1:4" ht="38.25">
      <c r="A80" s="46">
        <v>1</v>
      </c>
      <c r="B80" s="43" t="s">
        <v>36</v>
      </c>
      <c r="C80" s="88">
        <f>C119</f>
        <v>672790.07</v>
      </c>
      <c r="D80" s="21"/>
    </row>
    <row r="81" spans="1:4" ht="38.25">
      <c r="A81" s="46">
        <v>2</v>
      </c>
      <c r="B81" s="17" t="s">
        <v>22</v>
      </c>
      <c r="C81" s="83">
        <f>C126</f>
        <v>51589.87</v>
      </c>
      <c r="D81" s="98"/>
    </row>
    <row r="82" spans="1:4" ht="12.75">
      <c r="A82" s="44">
        <v>3</v>
      </c>
      <c r="B82" s="8" t="s">
        <v>86</v>
      </c>
      <c r="C82" s="85">
        <f>14744.59+5999.96</f>
        <v>20744.55</v>
      </c>
      <c r="D82" s="98"/>
    </row>
    <row r="83" spans="1:4" ht="12.75">
      <c r="A83" s="46">
        <v>4</v>
      </c>
      <c r="B83" s="8" t="s">
        <v>15</v>
      </c>
      <c r="C83" s="85">
        <v>26968.58</v>
      </c>
      <c r="D83" s="98"/>
    </row>
    <row r="84" spans="1:4" ht="12.75">
      <c r="A84" s="44">
        <v>5</v>
      </c>
      <c r="B84" s="8" t="s">
        <v>16</v>
      </c>
      <c r="C84" s="84">
        <v>31216.93</v>
      </c>
      <c r="D84" s="98"/>
    </row>
    <row r="85" spans="1:4" ht="12.75">
      <c r="A85" s="44">
        <v>6</v>
      </c>
      <c r="B85" s="8" t="s">
        <v>38</v>
      </c>
      <c r="C85" s="84">
        <v>137370.81</v>
      </c>
      <c r="D85" s="98"/>
    </row>
    <row r="86" spans="1:4" ht="12.75">
      <c r="A86" s="44">
        <v>7</v>
      </c>
      <c r="B86" s="17" t="s">
        <v>17</v>
      </c>
      <c r="C86" s="88">
        <v>7600.86</v>
      </c>
      <c r="D86" s="98"/>
    </row>
    <row r="87" spans="1:4" ht="12.75">
      <c r="A87" s="44">
        <v>8</v>
      </c>
      <c r="B87" s="17" t="s">
        <v>96</v>
      </c>
      <c r="C87" s="82">
        <v>405.24</v>
      </c>
      <c r="D87" s="98"/>
    </row>
    <row r="88" spans="1:5" ht="12.75" customHeight="1">
      <c r="A88" s="44">
        <v>9</v>
      </c>
      <c r="B88" s="17" t="s">
        <v>97</v>
      </c>
      <c r="C88" s="82">
        <v>1418.28</v>
      </c>
      <c r="D88" s="98"/>
      <c r="E88" t="s">
        <v>87</v>
      </c>
    </row>
    <row r="89" spans="1:4" ht="14.25" customHeight="1">
      <c r="A89" s="46">
        <v>10</v>
      </c>
      <c r="B89" s="17" t="s">
        <v>39</v>
      </c>
      <c r="C89" s="82">
        <v>75000</v>
      </c>
      <c r="D89" s="98"/>
    </row>
    <row r="90" spans="1:4" ht="12.75">
      <c r="A90" s="46">
        <v>11</v>
      </c>
      <c r="B90" s="17" t="s">
        <v>40</v>
      </c>
      <c r="C90" s="82">
        <v>1200</v>
      </c>
      <c r="D90" s="98"/>
    </row>
    <row r="91" spans="1:4" ht="14.25" customHeight="1">
      <c r="A91" s="46">
        <v>12</v>
      </c>
      <c r="B91" s="17" t="s">
        <v>41</v>
      </c>
      <c r="C91" s="82">
        <v>9000</v>
      </c>
      <c r="D91" s="98"/>
    </row>
    <row r="92" spans="1:4" ht="25.5">
      <c r="A92" s="46">
        <v>13</v>
      </c>
      <c r="B92" s="17" t="s">
        <v>42</v>
      </c>
      <c r="C92" s="82">
        <v>4389.86</v>
      </c>
      <c r="D92" s="98"/>
    </row>
    <row r="93" spans="1:4" ht="25.5">
      <c r="A93" s="46">
        <v>14</v>
      </c>
      <c r="B93" s="17" t="s">
        <v>10</v>
      </c>
      <c r="C93" s="82">
        <v>2026.09</v>
      </c>
      <c r="D93" s="98"/>
    </row>
    <row r="94" spans="1:4" ht="12.75">
      <c r="A94" s="46">
        <v>15</v>
      </c>
      <c r="B94" s="17" t="s">
        <v>0</v>
      </c>
      <c r="C94" s="82">
        <v>10447.19</v>
      </c>
      <c r="D94" s="98"/>
    </row>
    <row r="95" spans="1:4" ht="25.5">
      <c r="A95" s="46">
        <v>16</v>
      </c>
      <c r="B95" s="17" t="s">
        <v>44</v>
      </c>
      <c r="C95" s="82">
        <v>1750</v>
      </c>
      <c r="D95" s="98"/>
    </row>
    <row r="96" spans="1:5" ht="12.75">
      <c r="A96" s="44">
        <v>17</v>
      </c>
      <c r="B96" s="17" t="s">
        <v>45</v>
      </c>
      <c r="C96" s="82">
        <v>686</v>
      </c>
      <c r="D96" s="98"/>
      <c r="E96" t="s">
        <v>87</v>
      </c>
    </row>
    <row r="97" spans="1:5" ht="12.75">
      <c r="A97" s="44">
        <v>18</v>
      </c>
      <c r="B97" s="17" t="s">
        <v>46</v>
      </c>
      <c r="C97" s="82">
        <v>306</v>
      </c>
      <c r="D97" s="98"/>
      <c r="E97" t="s">
        <v>87</v>
      </c>
    </row>
    <row r="98" spans="1:4" ht="25.5">
      <c r="A98" s="46">
        <v>19</v>
      </c>
      <c r="B98" s="17" t="s">
        <v>47</v>
      </c>
      <c r="C98" s="82">
        <v>500</v>
      </c>
      <c r="D98" s="98"/>
    </row>
    <row r="99" spans="1:4" ht="38.25">
      <c r="A99" s="46">
        <v>20</v>
      </c>
      <c r="B99" s="17" t="s">
        <v>112</v>
      </c>
      <c r="C99" s="82">
        <v>14000</v>
      </c>
      <c r="D99" s="98"/>
    </row>
    <row r="100" spans="1:4" ht="25.5">
      <c r="A100" s="46">
        <v>21</v>
      </c>
      <c r="B100" s="17" t="s">
        <v>62</v>
      </c>
      <c r="C100" s="82">
        <v>17400</v>
      </c>
      <c r="D100" s="98"/>
    </row>
    <row r="101" spans="1:3" ht="12.75">
      <c r="A101" s="51" t="s">
        <v>23</v>
      </c>
      <c r="B101" s="61" t="s">
        <v>90</v>
      </c>
      <c r="C101" s="124">
        <v>9558.53</v>
      </c>
    </row>
    <row r="102" spans="1:4" ht="12.75">
      <c r="A102" s="46">
        <v>23</v>
      </c>
      <c r="B102" s="17" t="s">
        <v>12</v>
      </c>
      <c r="C102" s="88">
        <f>16936.27+6331.04</f>
        <v>23267.31</v>
      </c>
      <c r="D102" s="98"/>
    </row>
    <row r="103" spans="1:4" ht="12.75">
      <c r="A103" s="46">
        <v>24</v>
      </c>
      <c r="B103" s="17" t="s">
        <v>53</v>
      </c>
      <c r="C103" s="82">
        <v>28238.85</v>
      </c>
      <c r="D103" s="98"/>
    </row>
    <row r="104" spans="1:5" ht="12.75">
      <c r="A104" s="46">
        <v>25</v>
      </c>
      <c r="B104" s="17" t="s">
        <v>32</v>
      </c>
      <c r="C104" s="82">
        <f>168.84*12</f>
        <v>2026.08</v>
      </c>
      <c r="D104" s="98"/>
      <c r="E104" t="s">
        <v>64</v>
      </c>
    </row>
    <row r="105" spans="1:4" ht="12.75">
      <c r="A105" s="44">
        <v>26</v>
      </c>
      <c r="B105" s="17" t="s">
        <v>65</v>
      </c>
      <c r="C105" s="82">
        <f>1114.35*12</f>
        <v>13372.199999999999</v>
      </c>
      <c r="D105" s="98"/>
    </row>
    <row r="106" spans="1:3" ht="12.75">
      <c r="A106" s="32" t="s">
        <v>25</v>
      </c>
      <c r="B106" s="8" t="s">
        <v>24</v>
      </c>
      <c r="C106" s="85">
        <f>C76*0.06</f>
        <v>61682.212199999994</v>
      </c>
    </row>
    <row r="107" spans="1:3" ht="12.75">
      <c r="A107" s="33"/>
      <c r="B107" s="13" t="s">
        <v>93</v>
      </c>
      <c r="C107" s="86">
        <f>SUM(C80:C106)</f>
        <v>1224955.5122000002</v>
      </c>
    </row>
    <row r="108" spans="1:3" ht="12.75">
      <c r="A108" s="32"/>
      <c r="B108" s="8" t="s">
        <v>48</v>
      </c>
      <c r="C108" s="85">
        <f>(D76)*10%</f>
        <v>136537.169</v>
      </c>
    </row>
    <row r="109" spans="1:4" ht="13.5" thickBot="1">
      <c r="A109" s="39"/>
      <c r="B109" s="34" t="s">
        <v>69</v>
      </c>
      <c r="C109" s="122">
        <f>C107+C108</f>
        <v>1361492.6812000002</v>
      </c>
      <c r="D109" s="21"/>
    </row>
    <row r="110" spans="1:4" ht="12.75">
      <c r="A110" s="16"/>
      <c r="B110" s="4"/>
      <c r="C110" s="87"/>
      <c r="D110" s="21"/>
    </row>
    <row r="111" spans="1:3" ht="15">
      <c r="A111" s="47" t="s">
        <v>14</v>
      </c>
      <c r="B111" s="111"/>
      <c r="C111" s="87">
        <f>C109-C76</f>
        <v>333455.81120000023</v>
      </c>
    </row>
    <row r="112" spans="1:3" ht="15">
      <c r="A112" s="16"/>
      <c r="B112" s="11"/>
      <c r="C112" s="87"/>
    </row>
    <row r="113" ht="12.75">
      <c r="B113" s="1" t="s">
        <v>71</v>
      </c>
    </row>
    <row r="114" ht="12.75">
      <c r="B114" s="1" t="s">
        <v>28</v>
      </c>
    </row>
    <row r="115" ht="12.75">
      <c r="B115" s="1"/>
    </row>
    <row r="116" spans="1:4" ht="12.75">
      <c r="A116" s="2"/>
      <c r="B116" s="2"/>
      <c r="C116" s="2" t="s">
        <v>75</v>
      </c>
      <c r="D116" s="2"/>
    </row>
    <row r="117" spans="1:4" ht="12.75">
      <c r="A117" s="2"/>
      <c r="B117" s="2"/>
      <c r="C117" s="2" t="s">
        <v>63</v>
      </c>
      <c r="D117" s="2"/>
    </row>
    <row r="118" spans="1:4" ht="13.5" thickBot="1">
      <c r="A118" s="25"/>
      <c r="B118" s="25" t="s">
        <v>68</v>
      </c>
      <c r="C118" s="23"/>
      <c r="D118" s="53"/>
    </row>
    <row r="119" spans="1:5" ht="12.75">
      <c r="A119" s="35" t="s">
        <v>95</v>
      </c>
      <c r="B119" s="27" t="s">
        <v>50</v>
      </c>
      <c r="C119" s="31">
        <f>653020.07+C122+C123+C124+C125</f>
        <v>672790.07</v>
      </c>
      <c r="D119" s="12"/>
      <c r="E119" s="14"/>
    </row>
    <row r="120" spans="1:5" ht="12.75">
      <c r="A120" s="36"/>
      <c r="B120" s="6" t="s">
        <v>92</v>
      </c>
      <c r="C120" s="28"/>
      <c r="D120" s="12"/>
      <c r="E120" s="14"/>
    </row>
    <row r="121" spans="1:5" ht="12.75">
      <c r="A121" s="125"/>
      <c r="B121" s="40" t="s">
        <v>117</v>
      </c>
      <c r="C121" s="41">
        <v>653020.07</v>
      </c>
      <c r="D121" s="12"/>
      <c r="E121" s="14"/>
    </row>
    <row r="122" spans="1:5" ht="12.75">
      <c r="A122" s="37" t="s">
        <v>85</v>
      </c>
      <c r="B122" s="6" t="s">
        <v>70</v>
      </c>
      <c r="C122" s="121">
        <v>7665.53</v>
      </c>
      <c r="D122" s="12"/>
      <c r="E122" s="12"/>
    </row>
    <row r="123" spans="1:5" ht="12.75">
      <c r="A123" s="37" t="s">
        <v>85</v>
      </c>
      <c r="B123" s="40" t="s">
        <v>51</v>
      </c>
      <c r="C123" s="121">
        <v>146.59</v>
      </c>
      <c r="D123" s="12"/>
      <c r="E123" s="12"/>
    </row>
    <row r="124" spans="1:5" ht="12.75">
      <c r="A124" s="37" t="s">
        <v>85</v>
      </c>
      <c r="B124" s="40" t="s">
        <v>55</v>
      </c>
      <c r="C124" s="41">
        <v>8052.99</v>
      </c>
      <c r="D124" s="12"/>
      <c r="E124" s="12"/>
    </row>
    <row r="125" spans="1:5" ht="13.5" thickBot="1">
      <c r="A125" s="38" t="s">
        <v>85</v>
      </c>
      <c r="B125" s="40" t="s">
        <v>104</v>
      </c>
      <c r="C125" s="30">
        <f>2438.97+1465.92</f>
        <v>3904.89</v>
      </c>
      <c r="D125" s="12"/>
      <c r="E125" s="12"/>
    </row>
    <row r="126" spans="1:5" ht="12.75">
      <c r="A126" s="35" t="s">
        <v>116</v>
      </c>
      <c r="B126" s="27" t="s">
        <v>29</v>
      </c>
      <c r="C126" s="31">
        <f>35852.37+C129</f>
        <v>51589.87</v>
      </c>
      <c r="D126" s="12"/>
      <c r="E126" s="10"/>
    </row>
    <row r="127" spans="1:5" ht="12.75">
      <c r="A127" s="36"/>
      <c r="B127" s="6" t="s">
        <v>92</v>
      </c>
      <c r="C127" s="28"/>
      <c r="D127" s="12"/>
      <c r="E127" s="14"/>
    </row>
    <row r="128" spans="1:5" ht="12.75">
      <c r="A128" s="125"/>
      <c r="B128" s="40" t="s">
        <v>117</v>
      </c>
      <c r="C128" s="41">
        <v>35852.37</v>
      </c>
      <c r="D128" s="12"/>
      <c r="E128" s="14"/>
    </row>
    <row r="129" spans="1:5" ht="13.5" thickBot="1">
      <c r="A129" s="38" t="s">
        <v>85</v>
      </c>
      <c r="B129" s="29" t="s">
        <v>70</v>
      </c>
      <c r="C129" s="30">
        <v>15737.5</v>
      </c>
      <c r="D129" s="12"/>
      <c r="E129" s="12"/>
    </row>
    <row r="131" spans="1:5" ht="12.75">
      <c r="A131" s="132"/>
      <c r="B131" s="132"/>
      <c r="C131" s="133" t="s">
        <v>84</v>
      </c>
      <c r="D131" s="134"/>
      <c r="E131" s="134"/>
    </row>
    <row r="132" spans="1:5" ht="14.25">
      <c r="A132" s="16"/>
      <c r="B132" s="104"/>
      <c r="C132" s="135" t="s">
        <v>20</v>
      </c>
      <c r="D132" s="136"/>
      <c r="E132" s="136"/>
    </row>
    <row r="133" spans="1:5" ht="14.25">
      <c r="A133" s="16"/>
      <c r="B133" s="135" t="s">
        <v>21</v>
      </c>
      <c r="C133" s="136"/>
      <c r="D133" s="136"/>
      <c r="E133" s="136"/>
    </row>
    <row r="134" spans="1:5" ht="12.75">
      <c r="A134" s="16"/>
      <c r="B134" s="24"/>
      <c r="C134" s="18"/>
      <c r="D134" s="18"/>
      <c r="E134" s="18"/>
    </row>
    <row r="135" spans="1:5" ht="18">
      <c r="A135" s="137" t="s">
        <v>88</v>
      </c>
      <c r="B135" s="130"/>
      <c r="C135" s="130"/>
      <c r="D135" s="130"/>
      <c r="E135" s="130"/>
    </row>
    <row r="136" spans="1:5" ht="15">
      <c r="A136" s="129" t="s">
        <v>1</v>
      </c>
      <c r="B136" s="131"/>
      <c r="C136" s="131"/>
      <c r="D136" s="131"/>
      <c r="E136" s="131"/>
    </row>
    <row r="137" spans="1:5" ht="15">
      <c r="A137" s="129"/>
      <c r="B137" s="130"/>
      <c r="C137" s="130"/>
      <c r="D137" s="130"/>
      <c r="E137" s="130"/>
    </row>
    <row r="138" spans="1:5" ht="15">
      <c r="A138" s="19"/>
      <c r="B138" s="20" t="s">
        <v>60</v>
      </c>
      <c r="C138" s="129"/>
      <c r="D138" s="131"/>
      <c r="E138" s="131"/>
    </row>
    <row r="139" spans="1:4" ht="15">
      <c r="A139" s="19"/>
      <c r="B139" s="20"/>
      <c r="C139" s="108"/>
      <c r="D139" s="47"/>
    </row>
    <row r="140" spans="1:5" ht="13.5" thickBot="1">
      <c r="A140" s="16" t="s">
        <v>72</v>
      </c>
      <c r="B140" s="3" t="s">
        <v>73</v>
      </c>
      <c r="C140" s="10"/>
      <c r="D140" s="14"/>
      <c r="E140" s="22"/>
    </row>
    <row r="141" spans="1:5" ht="39" thickBot="1">
      <c r="A141" s="72"/>
      <c r="B141" s="73" t="s">
        <v>77</v>
      </c>
      <c r="C141" s="74" t="s">
        <v>3</v>
      </c>
      <c r="D141" s="75" t="s">
        <v>31</v>
      </c>
      <c r="E141" s="76" t="s">
        <v>79</v>
      </c>
    </row>
    <row r="142" spans="1:5" ht="12.75">
      <c r="A142" s="52">
        <v>1</v>
      </c>
      <c r="B142" s="59" t="s">
        <v>89</v>
      </c>
      <c r="C142" s="89">
        <f>1295198.99+15301.63+28417.23-3301.87</f>
        <v>1335615.9799999997</v>
      </c>
      <c r="D142" s="90">
        <f>1589831.39+18804.25+33927.51-33485.4</f>
        <v>1609077.75</v>
      </c>
      <c r="E142" s="91">
        <f>D142-C142</f>
        <v>273461.77000000025</v>
      </c>
    </row>
    <row r="143" spans="1:5" ht="13.5" thickBot="1">
      <c r="A143" s="45">
        <v>2</v>
      </c>
      <c r="B143" s="5" t="s">
        <v>91</v>
      </c>
      <c r="C143" s="113">
        <f>5100+9100</f>
        <v>14200</v>
      </c>
      <c r="D143" s="113">
        <f>5100+9333</f>
        <v>14433</v>
      </c>
      <c r="E143" s="94">
        <f>D143-C143</f>
        <v>233</v>
      </c>
    </row>
    <row r="144" spans="1:5" ht="13.5" thickBot="1">
      <c r="A144" s="66"/>
      <c r="B144" s="67"/>
      <c r="C144" s="95">
        <f>SUM(C142:C143)</f>
        <v>1349815.9799999997</v>
      </c>
      <c r="D144" s="95">
        <f>SUM(D142:D143)</f>
        <v>1623510.75</v>
      </c>
      <c r="E144" s="96">
        <f>SUM(E142:E143)</f>
        <v>273694.77000000025</v>
      </c>
    </row>
    <row r="145" spans="1:5" ht="12.75">
      <c r="A145" s="146" t="s">
        <v>4</v>
      </c>
      <c r="B145" s="147"/>
      <c r="C145" s="147"/>
      <c r="D145" s="147"/>
      <c r="E145" s="147"/>
    </row>
    <row r="146" spans="1:5" ht="12.75">
      <c r="A146" s="26"/>
      <c r="B146" s="15"/>
      <c r="C146" s="119"/>
      <c r="D146" s="119"/>
      <c r="E146" s="119"/>
    </row>
    <row r="147" spans="1:2" ht="13.5" thickBot="1">
      <c r="A147" s="25"/>
      <c r="B147" s="3" t="s">
        <v>94</v>
      </c>
    </row>
    <row r="148" spans="1:3" ht="12.75">
      <c r="A148" s="101"/>
      <c r="B148" s="102" t="s">
        <v>76</v>
      </c>
      <c r="C148" s="103"/>
    </row>
    <row r="149" spans="1:4" ht="38.25">
      <c r="A149" s="46">
        <v>1</v>
      </c>
      <c r="B149" s="43" t="s">
        <v>36</v>
      </c>
      <c r="C149" s="88">
        <f>C188</f>
        <v>810235.44</v>
      </c>
      <c r="D149" s="21"/>
    </row>
    <row r="150" spans="1:4" ht="38.25">
      <c r="A150" s="46">
        <v>2</v>
      </c>
      <c r="B150" s="17" t="s">
        <v>22</v>
      </c>
      <c r="C150" s="83">
        <f>C194</f>
        <v>55877.9</v>
      </c>
      <c r="D150" s="98"/>
    </row>
    <row r="151" spans="1:4" ht="12.75">
      <c r="A151" s="44">
        <v>3</v>
      </c>
      <c r="B151" s="50" t="s">
        <v>86</v>
      </c>
      <c r="C151" s="85">
        <v>24588.61</v>
      </c>
      <c r="D151" s="98"/>
    </row>
    <row r="152" spans="1:4" ht="12.75">
      <c r="A152" s="46">
        <v>4</v>
      </c>
      <c r="B152" s="50" t="s">
        <v>15</v>
      </c>
      <c r="C152" s="85">
        <v>35417.58</v>
      </c>
      <c r="D152" s="98"/>
    </row>
    <row r="153" spans="1:4" ht="12.75">
      <c r="A153" s="44">
        <v>5</v>
      </c>
      <c r="B153" s="50" t="s">
        <v>16</v>
      </c>
      <c r="C153" s="84">
        <v>50511.96</v>
      </c>
      <c r="D153" s="98"/>
    </row>
    <row r="154" spans="1:4" ht="12.75">
      <c r="A154" s="44">
        <v>6</v>
      </c>
      <c r="B154" s="50" t="s">
        <v>38</v>
      </c>
      <c r="C154" s="84">
        <v>133591.04</v>
      </c>
      <c r="D154" s="98"/>
    </row>
    <row r="155" spans="1:4" ht="12.75">
      <c r="A155" s="44">
        <v>7</v>
      </c>
      <c r="B155" s="50" t="s">
        <v>17</v>
      </c>
      <c r="C155" s="88">
        <v>5200</v>
      </c>
      <c r="D155" s="98"/>
    </row>
    <row r="156" spans="1:4" ht="13.5" customHeight="1">
      <c r="A156" s="46">
        <v>8</v>
      </c>
      <c r="B156" s="50" t="s">
        <v>5</v>
      </c>
      <c r="C156" s="88">
        <v>12000</v>
      </c>
      <c r="D156" s="98"/>
    </row>
    <row r="157" spans="1:5" ht="14.25" customHeight="1">
      <c r="A157" s="46">
        <v>9</v>
      </c>
      <c r="B157" s="50" t="s">
        <v>97</v>
      </c>
      <c r="C157" s="82">
        <v>2363.8</v>
      </c>
      <c r="D157" s="98"/>
      <c r="E157" t="s">
        <v>87</v>
      </c>
    </row>
    <row r="158" spans="1:4" ht="15" customHeight="1">
      <c r="A158" s="46">
        <v>10</v>
      </c>
      <c r="B158" s="50" t="s">
        <v>39</v>
      </c>
      <c r="C158" s="82">
        <v>114600</v>
      </c>
      <c r="D158" s="98"/>
    </row>
    <row r="159" spans="1:4" ht="12.75">
      <c r="A159" s="46">
        <v>11</v>
      </c>
      <c r="B159" s="50" t="s">
        <v>40</v>
      </c>
      <c r="C159" s="82">
        <v>1200</v>
      </c>
      <c r="D159" s="98"/>
    </row>
    <row r="160" spans="1:4" ht="15" customHeight="1">
      <c r="A160" s="46">
        <v>12</v>
      </c>
      <c r="B160" s="50" t="s">
        <v>41</v>
      </c>
      <c r="C160" s="82">
        <v>9000</v>
      </c>
      <c r="D160" s="98"/>
    </row>
    <row r="161" spans="1:4" ht="25.5">
      <c r="A161" s="46">
        <v>13</v>
      </c>
      <c r="B161" s="17" t="s">
        <v>42</v>
      </c>
      <c r="C161" s="82">
        <v>4389.86</v>
      </c>
      <c r="D161" s="98"/>
    </row>
    <row r="162" spans="1:4" ht="12.75">
      <c r="A162" s="46">
        <v>14</v>
      </c>
      <c r="B162" s="17" t="s">
        <v>0</v>
      </c>
      <c r="C162" s="82">
        <v>10447.19</v>
      </c>
      <c r="D162" s="98"/>
    </row>
    <row r="163" spans="1:4" ht="25.5">
      <c r="A163" s="46">
        <v>15</v>
      </c>
      <c r="B163" s="17" t="s">
        <v>44</v>
      </c>
      <c r="C163" s="82">
        <v>1750</v>
      </c>
      <c r="D163" s="98"/>
    </row>
    <row r="164" spans="1:5" ht="12.75">
      <c r="A164" s="44">
        <v>16</v>
      </c>
      <c r="B164" s="17" t="s">
        <v>45</v>
      </c>
      <c r="C164" s="82">
        <v>686</v>
      </c>
      <c r="D164" s="98"/>
      <c r="E164" t="s">
        <v>87</v>
      </c>
    </row>
    <row r="165" spans="1:5" ht="12.75">
      <c r="A165" s="44">
        <v>17</v>
      </c>
      <c r="B165" s="17" t="s">
        <v>46</v>
      </c>
      <c r="C165" s="82">
        <v>306</v>
      </c>
      <c r="D165" s="98"/>
      <c r="E165" t="s">
        <v>87</v>
      </c>
    </row>
    <row r="166" spans="1:4" ht="25.5">
      <c r="A166" s="46">
        <v>18</v>
      </c>
      <c r="B166" s="17" t="s">
        <v>47</v>
      </c>
      <c r="C166" s="82">
        <v>500</v>
      </c>
      <c r="D166" s="98"/>
    </row>
    <row r="167" spans="1:4" ht="38.25">
      <c r="A167" s="46">
        <v>19</v>
      </c>
      <c r="B167" s="17" t="s">
        <v>112</v>
      </c>
      <c r="C167" s="82">
        <v>14000</v>
      </c>
      <c r="D167" s="98"/>
    </row>
    <row r="168" spans="1:4" ht="25.5">
      <c r="A168" s="46">
        <v>20</v>
      </c>
      <c r="B168" s="17" t="s">
        <v>62</v>
      </c>
      <c r="C168" s="82">
        <v>17400</v>
      </c>
      <c r="D168" s="98"/>
    </row>
    <row r="169" spans="1:3" ht="12.75">
      <c r="A169" s="51" t="s">
        <v>109</v>
      </c>
      <c r="B169" s="61" t="s">
        <v>90</v>
      </c>
      <c r="C169" s="124">
        <v>11527.13</v>
      </c>
    </row>
    <row r="170" spans="1:4" ht="12.75">
      <c r="A170" s="46">
        <v>22</v>
      </c>
      <c r="B170" s="17" t="s">
        <v>12</v>
      </c>
      <c r="C170" s="88">
        <v>15911.43</v>
      </c>
      <c r="D170" s="98"/>
    </row>
    <row r="171" spans="1:4" ht="12.75">
      <c r="A171" s="46">
        <v>23</v>
      </c>
      <c r="B171" s="17" t="s">
        <v>53</v>
      </c>
      <c r="C171" s="82">
        <v>28238.85</v>
      </c>
      <c r="D171" s="98"/>
    </row>
    <row r="172" spans="1:5" ht="12.75">
      <c r="A172" s="46">
        <v>24</v>
      </c>
      <c r="B172" s="17" t="s">
        <v>32</v>
      </c>
      <c r="C172" s="82">
        <v>2531.25</v>
      </c>
      <c r="D172" s="98"/>
      <c r="E172" t="s">
        <v>64</v>
      </c>
    </row>
    <row r="173" spans="1:4" ht="12.75">
      <c r="A173" s="44">
        <v>25</v>
      </c>
      <c r="B173" s="17" t="s">
        <v>65</v>
      </c>
      <c r="C173" s="82">
        <v>16706.25</v>
      </c>
      <c r="D173" s="98"/>
    </row>
    <row r="174" spans="1:3" ht="12.75">
      <c r="A174" s="32" t="s">
        <v>6</v>
      </c>
      <c r="B174" s="8" t="s">
        <v>24</v>
      </c>
      <c r="C174" s="85">
        <f>C144*0.06</f>
        <v>80988.95879999998</v>
      </c>
    </row>
    <row r="175" spans="1:4" ht="25.5">
      <c r="A175" s="46">
        <v>27</v>
      </c>
      <c r="B175" s="17" t="s">
        <v>100</v>
      </c>
      <c r="C175" s="82">
        <v>181.72</v>
      </c>
      <c r="D175" s="98"/>
    </row>
    <row r="176" spans="1:3" ht="12.75">
      <c r="A176" s="33"/>
      <c r="B176" s="13" t="s">
        <v>93</v>
      </c>
      <c r="C176" s="86">
        <f>SUM(C149:C175)</f>
        <v>1460150.9687999997</v>
      </c>
    </row>
    <row r="177" spans="1:3" ht="12.75">
      <c r="A177" s="32"/>
      <c r="B177" s="8" t="s">
        <v>48</v>
      </c>
      <c r="C177" s="85">
        <f>(D144)*10%</f>
        <v>162351.075</v>
      </c>
    </row>
    <row r="178" spans="1:4" ht="13.5" thickBot="1">
      <c r="A178" s="39"/>
      <c r="B178" s="34" t="s">
        <v>69</v>
      </c>
      <c r="C178" s="122">
        <f>C176+C177</f>
        <v>1622502.0437999996</v>
      </c>
      <c r="D178" s="21"/>
    </row>
    <row r="179" spans="1:4" ht="12.75">
      <c r="A179" s="16"/>
      <c r="B179" s="4"/>
      <c r="C179" s="87"/>
      <c r="D179" s="21"/>
    </row>
    <row r="180" spans="1:3" ht="15">
      <c r="A180" s="47" t="s">
        <v>2</v>
      </c>
      <c r="B180" s="111"/>
      <c r="C180" s="87">
        <f>C178-C144</f>
        <v>272686.0637999999</v>
      </c>
    </row>
    <row r="181" spans="1:3" ht="15">
      <c r="A181" s="16"/>
      <c r="B181" s="11"/>
      <c r="C181" s="87"/>
    </row>
    <row r="182" ht="12.75">
      <c r="B182" s="1" t="s">
        <v>71</v>
      </c>
    </row>
    <row r="183" ht="12.75">
      <c r="B183" s="1" t="s">
        <v>28</v>
      </c>
    </row>
    <row r="184" ht="12.75">
      <c r="B184" s="1"/>
    </row>
    <row r="185" spans="1:4" ht="12.75">
      <c r="A185" s="2"/>
      <c r="B185" s="2"/>
      <c r="C185" s="2" t="s">
        <v>75</v>
      </c>
      <c r="D185" s="2"/>
    </row>
    <row r="186" spans="1:4" ht="12.75">
      <c r="A186" s="2"/>
      <c r="B186" s="2"/>
      <c r="C186" s="2" t="s">
        <v>63</v>
      </c>
      <c r="D186" s="2"/>
    </row>
    <row r="187" spans="1:4" ht="13.5" thickBot="1">
      <c r="A187" s="25"/>
      <c r="B187" s="25" t="s">
        <v>68</v>
      </c>
      <c r="C187" s="23"/>
      <c r="D187" s="53"/>
    </row>
    <row r="188" spans="1:5" ht="12.75">
      <c r="A188" s="35" t="s">
        <v>95</v>
      </c>
      <c r="B188" s="27" t="s">
        <v>50</v>
      </c>
      <c r="C188" s="31">
        <f>782870.43+C190+C191+C192+C193</f>
        <v>810235.44</v>
      </c>
      <c r="D188" s="12"/>
      <c r="E188" s="14"/>
    </row>
    <row r="189" spans="1:5" ht="12.75">
      <c r="A189" s="36"/>
      <c r="B189" s="6" t="s">
        <v>92</v>
      </c>
      <c r="C189" s="28"/>
      <c r="D189" s="12"/>
      <c r="E189" s="14"/>
    </row>
    <row r="190" spans="1:5" ht="12.75">
      <c r="A190" s="37" t="s">
        <v>85</v>
      </c>
      <c r="B190" s="6" t="s">
        <v>70</v>
      </c>
      <c r="C190" s="121">
        <v>16531.23</v>
      </c>
      <c r="D190" s="12"/>
      <c r="E190" s="12"/>
    </row>
    <row r="191" spans="1:5" ht="12.75">
      <c r="A191" s="37" t="s">
        <v>85</v>
      </c>
      <c r="B191" s="40" t="s">
        <v>51</v>
      </c>
      <c r="C191" s="121">
        <v>146.59</v>
      </c>
      <c r="D191" s="12"/>
      <c r="E191" s="12"/>
    </row>
    <row r="192" spans="1:5" ht="12.75">
      <c r="A192" s="37" t="s">
        <v>85</v>
      </c>
      <c r="B192" s="40" t="s">
        <v>55</v>
      </c>
      <c r="C192" s="41">
        <v>8052.99</v>
      </c>
      <c r="D192" s="12"/>
      <c r="E192" s="12"/>
    </row>
    <row r="193" spans="1:5" ht="13.5" thickBot="1">
      <c r="A193" s="38" t="s">
        <v>85</v>
      </c>
      <c r="B193" s="40" t="s">
        <v>104</v>
      </c>
      <c r="C193" s="30">
        <v>2634.2</v>
      </c>
      <c r="D193" s="12"/>
      <c r="E193" s="12"/>
    </row>
    <row r="194" spans="1:5" ht="12.75">
      <c r="A194" s="35" t="s">
        <v>116</v>
      </c>
      <c r="B194" s="27" t="s">
        <v>29</v>
      </c>
      <c r="C194" s="31">
        <f>39552.4+C196</f>
        <v>55877.9</v>
      </c>
      <c r="D194" s="12"/>
      <c r="E194" s="10"/>
    </row>
    <row r="195" spans="1:5" ht="12.75">
      <c r="A195" s="36"/>
      <c r="B195" s="6" t="s">
        <v>92</v>
      </c>
      <c r="C195" s="28"/>
      <c r="D195" s="12"/>
      <c r="E195" s="14"/>
    </row>
    <row r="196" spans="1:5" ht="13.5" thickBot="1">
      <c r="A196" s="38" t="s">
        <v>85</v>
      </c>
      <c r="B196" s="29" t="s">
        <v>70</v>
      </c>
      <c r="C196" s="30">
        <v>16325.5</v>
      </c>
      <c r="D196" s="12"/>
      <c r="E196" s="12"/>
    </row>
  </sheetData>
  <sheetProtection/>
  <mergeCells count="26">
    <mergeCell ref="A16:D16"/>
    <mergeCell ref="A5:E5"/>
    <mergeCell ref="A6:E6"/>
    <mergeCell ref="A7:E7"/>
    <mergeCell ref="C8:E8"/>
    <mergeCell ref="A1:B1"/>
    <mergeCell ref="C1:E1"/>
    <mergeCell ref="C2:E2"/>
    <mergeCell ref="B3:E3"/>
    <mergeCell ref="A66:E66"/>
    <mergeCell ref="A67:E67"/>
    <mergeCell ref="A68:E68"/>
    <mergeCell ref="C69:E69"/>
    <mergeCell ref="A62:B62"/>
    <mergeCell ref="C62:E62"/>
    <mergeCell ref="C63:E63"/>
    <mergeCell ref="B64:E64"/>
    <mergeCell ref="A145:E145"/>
    <mergeCell ref="A135:E135"/>
    <mergeCell ref="A136:E136"/>
    <mergeCell ref="A137:E137"/>
    <mergeCell ref="C138:E138"/>
    <mergeCell ref="A131:B131"/>
    <mergeCell ref="C131:E131"/>
    <mergeCell ref="C132:E132"/>
    <mergeCell ref="B133:E133"/>
  </mergeCells>
  <printOptions/>
  <pageMargins left="0.3937007874015748" right="0.1968503937007874" top="0.3937007874015748" bottom="0.3937007874015748" header="0.5118110236220472" footer="0.5118110236220472"/>
  <pageSetup fitToHeight="1" fitToWidth="1" orientation="portrait" paperSize="9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ДЭЗ№7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ДЭЗ№7</dc:creator>
  <cp:keywords/>
  <dc:description/>
  <cp:lastModifiedBy>user</cp:lastModifiedBy>
  <cp:lastPrinted>2016-08-18T05:47:12Z</cp:lastPrinted>
  <dcterms:created xsi:type="dcterms:W3CDTF">2007-04-06T04:01:43Z</dcterms:created>
  <dcterms:modified xsi:type="dcterms:W3CDTF">2016-09-07T01:38:43Z</dcterms:modified>
  <cp:category/>
  <cp:version/>
  <cp:contentType/>
  <cp:contentStatus/>
</cp:coreProperties>
</file>